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ousehold EF Assessment (final)" sheetId="1" r:id="rId1"/>
  </sheets>
  <externalReferences>
    <externalReference r:id="rId4"/>
    <externalReference r:id="rId5"/>
    <externalReference r:id="rId6"/>
  </externalReferences>
  <definedNames>
    <definedName name="1">$D$203</definedName>
    <definedName name="2">$D$209</definedName>
    <definedName name="3">$D$205</definedName>
    <definedName name="4">$D$207</definedName>
    <definedName name="5">$D$206</definedName>
    <definedName name="6">$D$204</definedName>
    <definedName name="7">$D$181</definedName>
    <definedName name="8">$D$208</definedName>
    <definedName name="asldkfasd">'[1]pre sere'!#REF!</definedName>
    <definedName name="BIOCAPACIITY">'[2]template'!#REF!</definedName>
    <definedName name="BIOCAPACITY">#REF!</definedName>
    <definedName name="BUILT">#REF!</definedName>
    <definedName name="CROPLAND">#REF!</definedName>
    <definedName name="DATABASE">IV8192</definedName>
    <definedName name="ENERGY">#REF!</definedName>
    <definedName name="EQUIV_FACTORS">#REF!</definedName>
    <definedName name="FARMING_SYSTEMS">#REF!</definedName>
    <definedName name="FEED_CONVERSION">#REF!</definedName>
    <definedName name="FISH_AQUACULTURE">#REF!</definedName>
    <definedName name="FISH_WILD">#REF!</definedName>
    <definedName name="FISHING_GROUNDS">#REF!</definedName>
    <definedName name="FOREST">#REF!</definedName>
    <definedName name="LAND_USE">#REF!</definedName>
    <definedName name="LIVESTOCK">#REF!</definedName>
    <definedName name="LIVESTOCK_FEED">#REF!</definedName>
    <definedName name="PASTURE">#REF!</definedName>
    <definedName name="_xlnm.Print_Area" localSheetId="0">'Household EF Assessment (final)'!$B$1:$M$190</definedName>
    <definedName name="_xlnm.Print_Area">IV8192</definedName>
    <definedName name="_xlnm.Print_Titles">IV8192</definedName>
    <definedName name="REFERENCES">#REF!</definedName>
    <definedName name="RESULTS">#REF!</definedName>
    <definedName name="TCO2EENH">#REF!</definedName>
    <definedName name="TCO2PR">#REF!</definedName>
    <definedName name="TCODE">#REF!</definedName>
    <definedName name="TEENH">#REF!</definedName>
    <definedName name="TENEENH">#REF!</definedName>
    <definedName name="TENPR">#REF!</definedName>
    <definedName name="TNAAM">#REF!</definedName>
    <definedName name="YIELD_FACTORS">#REF!</definedName>
  </definedNames>
  <calcPr calcMode="manual" fullCalcOnLoad="1" calcCompleted="0" calcOnSave="0"/>
</workbook>
</file>

<file path=xl/comments1.xml><?xml version="1.0" encoding="utf-8"?>
<comments xmlns="http://schemas.openxmlformats.org/spreadsheetml/2006/main">
  <authors>
    <author>Mathis Wackernagel</author>
    <author>A satisfied Microsoft Office user</author>
    <author>Default</author>
    <author>Diana Deumling</author>
    <author>Chad</author>
  </authors>
  <commentList>
    <comment ref="B2" authorId="0">
      <text>
        <r>
          <rPr>
            <b/>
            <sz val="10"/>
            <rFont val="Tahoma"/>
            <family val="0"/>
          </rPr>
          <t xml:space="preserve">Produced by Mathis Wackernagel, Chad Monfreda, Diana Deumling, and Ritik Dholakia
</t>
        </r>
        <r>
          <rPr>
            <sz val="10"/>
            <rFont val="Tahoma"/>
            <family val="2"/>
          </rPr>
          <t>(Version 1.0 was released in 1997 at the Centre for Sustainability Studies at the Unversidad Anáhuac de Xalapa, Mexico).</t>
        </r>
      </text>
    </comment>
    <comment ref="B4" authorId="1">
      <text>
        <r>
          <rPr>
            <sz val="8"/>
            <rFont val="Tahoma"/>
            <family val="0"/>
          </rPr>
          <t>The life-energy accounting is taken from Joe Dominguez and Vicki Robin, 1992. Your Money or Your Life. Penguin, New York.
It shows why consuming less can increase our quality of life since it frees time we otherwise needed to work to pay for our consumption.
Wow - we may end up living better on a smaller footprint!</t>
        </r>
      </text>
    </comment>
    <comment ref="D5" authorId="1">
      <text>
        <r>
          <rPr>
            <sz val="8"/>
            <rFont val="Tahoma"/>
            <family val="0"/>
          </rPr>
          <t>Fill in the amounts for one individual or the entire household. If you put the income of the household, also add up the weekly working hours of all the members of the household.
The life energy needed per dollar earned is calculated automatically and shown in cell F6.</t>
        </r>
      </text>
    </comment>
    <comment ref="F21" authorId="1">
      <text>
        <r>
          <rPr>
            <sz val="8"/>
            <rFont val="Tahoma"/>
            <family val="0"/>
          </rPr>
          <t>Enter in this column your monthly expenditure in each category</t>
        </r>
      </text>
    </comment>
    <comment ref="G21" authorId="1">
      <text>
        <r>
          <rPr>
            <sz val="8"/>
            <rFont val="Tahoma"/>
            <family val="0"/>
          </rPr>
          <t>Unless otherwise noted, the Fossil Energy component of the household footprint follows this formula:
(Carbon sequestration ratio) * (Energy intensity) * (Waste factor, if needed) * (Quantity in metric or US standard) * (Metric conversion factor, if needed) * (Equivalence Factor: Forest)
or
(m^2/MJ) *  (MJ/kg) * (kg) * (global m^2/m^2)
Other terms found in specific formulas are explained in cell notes.</t>
        </r>
      </text>
    </comment>
    <comment ref="H21" authorId="1">
      <text>
        <r>
          <rPr>
            <sz val="8"/>
            <rFont val="Tahoma"/>
            <family val="0"/>
          </rPr>
          <t>Unless otherwise noted, the Arable Land component of the household footprint follows this formula:
(Footprint Intensity of Product) *
(Conversion factor from primary to secondary product, i.e., wheat to bread) * (Quantity in metric or US standard) * (Metric conversion factor, if needed) 
or
(global m^2/kg primary product) *  
(kg primary product/kg secondary product)
 * (kg secondary product)
The conversion factor from primary to secondary product is only included for secondary (manufactured) products.
Other terms found in specific formulas are explained in cell notes.</t>
        </r>
      </text>
    </comment>
    <comment ref="I21" authorId="1">
      <text>
        <r>
          <rPr>
            <sz val="8"/>
            <rFont val="Tahoma"/>
            <family val="0"/>
          </rPr>
          <t>Unless otherwise noted, the Pasture Land component of the household footprint follows this formula:
(Footprint Intensity of Product) *  
(Conversion factor from primary to secondary product, i.e., milk to cheese) * (Quantity in metric or US standard) * (Metric conversion factor, if needed)
or
(global m^2/kg primary product) *  
(kg primary product/kg secondary product)
 * (kg secondary product)
The conversion factor from primary to secondary product is only included for secondary (manufactured) products (bread, cheese, etc.).
Other terms found in specific formulas are explained in cell notes.</t>
        </r>
      </text>
    </comment>
    <comment ref="B23" authorId="1">
      <text>
        <r>
          <rPr>
            <sz val="8"/>
            <rFont val="Tahoma"/>
            <family val="0"/>
          </rPr>
          <t>With the exception of the sub-categories 'Eating Out' and 'Garden Area,' all sub-categories in the FOOD section should include only food being brought into the household from an outside source (i.e., not homegrown food).</t>
        </r>
      </text>
    </comment>
    <comment ref="D23" authorId="1">
      <text>
        <r>
          <rPr>
            <sz val="8"/>
            <rFont val="Tahoma"/>
            <family val="0"/>
          </rPr>
          <t>Average US per-capita food consumption data, unless otherwise noted, is for 1997 and taken directly from:
Food Consumption, Prices, and Expenditures, 1970-97, USDA Economic Research Service (ERS), http://usda.mannlib.cornell.edu/, Tables 1-41: Per Capita Food Consumption, 1970-97</t>
        </r>
      </text>
    </comment>
    <comment ref="G23" authorId="2">
      <text>
        <r>
          <rPr>
            <sz val="8"/>
            <rFont val="Tahoma"/>
            <family val="2"/>
          </rPr>
          <t xml:space="preserve">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In columns G-L, the footprint areas are expressed in global m2.  There are 10,000 m2 in a hectare, and 2.47 acres in a hectare.  
The Correction Factors in the Supporting Data section calibrate this household footprint spreadsheet with the national footprint accounts for the U.S., so that the "average" footprints are equal using both assessment methods.  "Uncalibrated" here means that the correction factors have not yet been applied to the values presented in these columns, rather they are applied to the footprint subtotals in the tables below. </t>
        </r>
      </text>
    </comment>
    <comment ref="G25" authorId="3">
      <text>
        <r>
          <rPr>
            <sz val="8"/>
            <rFont val="Tahoma"/>
            <family val="2"/>
          </rPr>
          <t>see: "Estimating and Addressing America's Food Losses,"  Food Review, Jan-April 1997, USDA, ERS</t>
        </r>
      </text>
    </comment>
    <comment ref="O26" authorId="2">
      <text>
        <r>
          <rPr>
            <sz val="8"/>
            <rFont val="Tahoma"/>
            <family val="2"/>
          </rPr>
          <t>FI means Financial Independence</t>
        </r>
      </text>
    </comment>
    <comment ref="F27" authorId="0">
      <text>
        <r>
          <rPr>
            <b/>
            <sz val="10"/>
            <rFont val="Tahoma"/>
            <family val="0"/>
          </rPr>
          <t>guestimate</t>
        </r>
        <r>
          <rPr>
            <sz val="10"/>
            <rFont val="Tahoma"/>
            <family val="0"/>
          </rPr>
          <t xml:space="preserve">
</t>
        </r>
      </text>
    </comment>
    <comment ref="B32" authorId="3">
      <text>
        <r>
          <rPr>
            <sz val="8"/>
            <rFont val="Tahoma"/>
            <family val="2"/>
          </rPr>
          <t>include canned and other prepared fruits and vegetables</t>
        </r>
      </text>
    </comment>
    <comment ref="D32" authorId="1">
      <text>
        <r>
          <rPr>
            <sz val="8"/>
            <rFont val="Tahoma"/>
            <family val="0"/>
          </rPr>
          <t xml:space="preserve">Per-capita average consumption of veggies, potatoes and fruit:
48.7 lbs/month
</t>
        </r>
      </text>
    </comment>
    <comment ref="D33" authorId="1">
      <text>
        <r>
          <rPr>
            <sz val="8"/>
            <rFont val="Tahoma"/>
            <family val="0"/>
          </rPr>
          <t xml:space="preserve">Per-capita average consumption of bread:
7.8 lbs/month
</t>
        </r>
      </text>
    </comment>
    <comment ref="D34" authorId="1">
      <text>
        <r>
          <rPr>
            <sz val="8"/>
            <rFont val="Tahoma"/>
            <family val="0"/>
          </rPr>
          <t xml:space="preserve">Per-capita average consumption of rice, cereals, noodles:
8.9 lbs/month (all cereals)
12% of cereals are maize
7.8 lbs/month (all cereals exc maize)
1.1 lbs/month (maize)
</t>
        </r>
      </text>
    </comment>
    <comment ref="D35" authorId="4">
      <text>
        <r>
          <rPr>
            <sz val="8"/>
            <rFont val="Tahoma"/>
            <family val="2"/>
          </rPr>
          <t>Per-capita average consumption of rice, cereals, noodles:
8.9 lbs/month (all cereals)
12% of cereals are maize
7.8 lbs/month (all cereals exc maize)
1.1 lbs/month (maize)</t>
        </r>
        <r>
          <rPr>
            <b/>
            <sz val="8"/>
            <rFont val="Tahoma"/>
            <family val="0"/>
          </rPr>
          <t xml:space="preserve">
</t>
        </r>
      </text>
    </comment>
    <comment ref="D36" authorId="1">
      <text>
        <r>
          <rPr>
            <sz val="8"/>
            <rFont val="Tahoma"/>
            <family val="0"/>
          </rPr>
          <t xml:space="preserve">Per-capita average consumption of beans:
0.7 lbs/month
</t>
        </r>
      </text>
    </comment>
    <comment ref="D37" authorId="1">
      <text>
        <r>
          <rPr>
            <sz val="8"/>
            <rFont val="Tahoma"/>
            <family val="0"/>
          </rPr>
          <t xml:space="preserve">Per-capita average consumption of milk, cream, yogurt, sour cream:
9.1 qts/month
</t>
        </r>
      </text>
    </comment>
    <comment ref="D38" authorId="1">
      <text>
        <r>
          <rPr>
            <sz val="8"/>
            <rFont val="Tahoma"/>
            <family val="0"/>
          </rPr>
          <t xml:space="preserve">Per-capita average consumption of ice cream:
1.2 quarts per month
</t>
        </r>
      </text>
    </comment>
    <comment ref="D39" authorId="1">
      <text>
        <r>
          <rPr>
            <sz val="8"/>
            <rFont val="Tahoma"/>
            <family val="0"/>
          </rPr>
          <t xml:space="preserve">Per-capita average consumption of cheese, butter:
2.7 lbs/month
</t>
        </r>
      </text>
    </comment>
    <comment ref="D40" authorId="1">
      <text>
        <r>
          <rPr>
            <sz val="8"/>
            <rFont val="Tahoma"/>
            <family val="0"/>
          </rPr>
          <t xml:space="preserve">Per-capita average consumption of eggs:
20 eggs/month
</t>
        </r>
      </text>
    </comment>
    <comment ref="G40" authorId="1">
      <text>
        <r>
          <rPr>
            <sz val="8"/>
            <rFont val="Tahoma"/>
            <family val="0"/>
          </rPr>
          <t>Fossil energy footprint of eggs:
0.05 refers to 1 egg = 50g =.05 kg</t>
        </r>
      </text>
    </comment>
    <comment ref="H40" authorId="1">
      <text>
        <r>
          <rPr>
            <sz val="8"/>
            <rFont val="Tahoma"/>
            <family val="0"/>
          </rPr>
          <t>Cropland footprint of eggs:
0.05 refers to 1 egg = 50g =.05 kg</t>
        </r>
      </text>
    </comment>
    <comment ref="D42" authorId="1">
      <text>
        <r>
          <rPr>
            <sz val="8"/>
            <rFont val="Tahoma"/>
            <family val="0"/>
          </rPr>
          <t xml:space="preserve">Per-capita average consumption of pork:
3.8 lbs/month
</t>
        </r>
      </text>
    </comment>
    <comment ref="D43" authorId="1">
      <text>
        <r>
          <rPr>
            <sz val="8"/>
            <rFont val="Tahoma"/>
            <family val="0"/>
          </rPr>
          <t xml:space="preserve">Per-capita average consumption of chicken, turkey:
5.4 lbs/month
</t>
        </r>
      </text>
    </comment>
    <comment ref="D44" authorId="1">
      <text>
        <r>
          <rPr>
            <sz val="8"/>
            <rFont val="Tahoma"/>
            <family val="0"/>
          </rPr>
          <t xml:space="preserve">Per-capita average consumption of beef:
5.4 lbs/month
</t>
        </r>
      </text>
    </comment>
    <comment ref="D45" authorId="1">
      <text>
        <r>
          <rPr>
            <sz val="8"/>
            <rFont val="Tahoma"/>
            <family val="0"/>
          </rPr>
          <t xml:space="preserve">Per-capita average consumption of fish:
1.2 lbs/month
</t>
        </r>
      </text>
    </comment>
    <comment ref="D46" authorId="1">
      <text>
        <r>
          <rPr>
            <sz val="8"/>
            <rFont val="Tahoma"/>
            <family val="0"/>
          </rPr>
          <t xml:space="preserve">Per-capita average consumption of sugar:
5.5 lbs/month
</t>
        </r>
      </text>
    </comment>
    <comment ref="D47" authorId="1">
      <text>
        <r>
          <rPr>
            <sz val="8"/>
            <rFont val="Tahoma"/>
            <family val="0"/>
          </rPr>
          <t xml:space="preserve">Per-capita average consumption of liquid vegetable oils:
1.2 qts/month
</t>
        </r>
      </text>
    </comment>
    <comment ref="H47" authorId="1">
      <text>
        <r>
          <rPr>
            <sz val="8"/>
            <rFont val="Tahoma"/>
            <family val="0"/>
          </rPr>
          <t>Cropland footprint of liquid vegetable oil and fat:
0.8 = estimated density of vegetable oil 
(kg/l)</t>
        </r>
      </text>
    </comment>
    <comment ref="D48" authorId="1">
      <text>
        <r>
          <rPr>
            <sz val="8"/>
            <rFont val="Tahoma"/>
            <family val="0"/>
          </rPr>
          <t xml:space="preserve">Per-capita average consumption of solid veg. fats:
2.5 lbs/month
</t>
        </r>
      </text>
    </comment>
    <comment ref="D49" authorId="1">
      <text>
        <r>
          <rPr>
            <sz val="8"/>
            <rFont val="Tahoma"/>
            <family val="0"/>
          </rPr>
          <t xml:space="preserve">Per-capita average consumption of tea &amp; coffee:
0.8 lbs/month
</t>
        </r>
      </text>
    </comment>
    <comment ref="C50" authorId="1">
      <text>
        <r>
          <rPr>
            <sz val="8"/>
            <rFont val="Tahoma"/>
            <family val="0"/>
          </rPr>
          <t>A standard bottle of wine contains 0.75 liters or 0.75/1.06 =  0.7 quarts</t>
        </r>
      </text>
    </comment>
    <comment ref="D50" authorId="1">
      <text>
        <r>
          <rPr>
            <sz val="8"/>
            <rFont val="Tahoma"/>
            <family val="0"/>
          </rPr>
          <t xml:space="preserve">Per-capita average consumption of juice &amp; wine:
3.0 quarts/month
</t>
        </r>
      </text>
    </comment>
    <comment ref="D51" authorId="3">
      <text>
        <r>
          <rPr>
            <sz val="8"/>
            <rFont val="Tahoma"/>
            <family val="2"/>
          </rPr>
          <t>Per-capita average consumption of beer:
7.3 quarts/month</t>
        </r>
        <r>
          <rPr>
            <b/>
            <sz val="8"/>
            <rFont val="Tahoma"/>
            <family val="0"/>
          </rPr>
          <t xml:space="preserve">
</t>
        </r>
      </text>
    </comment>
    <comment ref="D52" authorId="1">
      <text>
        <r>
          <rPr>
            <sz val="8"/>
            <rFont val="Tahoma"/>
            <family val="0"/>
          </rPr>
          <t xml:space="preserve">Per-capita average garden area:
no data
</t>
        </r>
      </text>
    </comment>
    <comment ref="D53" authorId="1">
      <text>
        <r>
          <rPr>
            <sz val="8"/>
            <rFont val="Tahoma"/>
            <family val="0"/>
          </rPr>
          <t xml:space="preserve">Per-capita spending on food and drink consumed outside the house:
estimated to be $68 per month </t>
        </r>
      </text>
    </comment>
    <comment ref="H53" authorId="1">
      <text>
        <r>
          <rPr>
            <sz val="8"/>
            <rFont val="Tahoma"/>
            <family val="0"/>
          </rPr>
          <t xml:space="preserve">Cropland footprint of food away from home:
    Value computed by taking the cropland footprint of average per capita food consumption without dining out (sum of other cropland footprints of food) per day (/365), and assuming that each meal eaten out provides one half of the day's nutritional content (*.5).
Assumes that every $6 spent is roughly equivalent to one meal.
Alternate method:
 </t>
        </r>
      </text>
    </comment>
    <comment ref="I53" authorId="1">
      <text>
        <r>
          <rPr>
            <sz val="8"/>
            <rFont val="Tahoma"/>
            <family val="0"/>
          </rPr>
          <t>Pasture footprint of dining out:
    Value computed by taking the pasture footprint of average per capita food consumption without dining out (sum of other pasture footprints of food) per day (/365), and assuming that each meal eaten out provides one half of the day's nutritional content (*.5).
Assumes that every $6 spent is roughly equivalent to one meal.</t>
        </r>
      </text>
    </comment>
    <comment ref="D58" authorId="1">
      <text>
        <r>
          <rPr>
            <sz val="8"/>
            <rFont val="Tahoma"/>
            <family val="0"/>
          </rPr>
          <t xml:space="preserve">Per-capita average housing unit size:
1525 sq/ft
@ 2.62 people per house
=582 sq. ft./person
</t>
        </r>
      </text>
    </comment>
    <comment ref="G58" authorId="1">
      <text>
        <r>
          <rPr>
            <sz val="8"/>
            <rFont val="Tahoma"/>
            <family val="0"/>
          </rPr>
          <t>The life-cycle embodied energy of a standard Canadian house with 350 square meters of living space adds up to 1'310 GJ (Canadian Mortgage and Housing Corporation, OPTIMIZE, 1991, researched by Sheltair). Life-expectancy of the house is 40 years.</t>
        </r>
      </text>
    </comment>
    <comment ref="J58" authorId="1">
      <text>
        <r>
          <rPr>
            <sz val="8"/>
            <rFont val="Tahoma"/>
            <family val="0"/>
          </rPr>
          <t>An average Canadian house uses 23.6 m3 of wood and is assumed to last 40 years (Government of Canada, 1991. The State of Canada's Environment. Ministry of Environment, Ottawa). The house is assumed to contain 150 m2 of living space. 2.6/10000 is the roundwood productivity, 2.2 is the ratio of roundwood needed per unit of construction wood. 
Another estimate from the Canadian Mortgage and Housing Corporation (OPTIMIZE, 1991) shows the use of over 50 m3 roundwood equivalent for a 350 m2 house.</t>
        </r>
      </text>
    </comment>
    <comment ref="D60" authorId="1">
      <text>
        <r>
          <rPr>
            <sz val="8"/>
            <rFont val="Tahoma"/>
            <family val="0"/>
          </rPr>
          <t>Average per-capita construction wood consumption:
no data</t>
        </r>
      </text>
    </comment>
    <comment ref="G60" authorId="4">
      <text>
        <r>
          <rPr>
            <sz val="8"/>
            <rFont val="Tahoma"/>
            <family val="0"/>
          </rPr>
          <t xml:space="preserve">assumes embodied energy of construction wood equal to 5 MJ/kg
</t>
        </r>
      </text>
    </comment>
    <comment ref="J60" authorId="1">
      <text>
        <r>
          <rPr>
            <sz val="8"/>
            <rFont val="Tahoma"/>
            <family val="0"/>
          </rPr>
          <t>600 kg/m3 is the average wood density.
2.2 is the waste factor</t>
        </r>
      </text>
    </comment>
    <comment ref="B61" authorId="1">
      <text>
        <r>
          <rPr>
            <sz val="8"/>
            <rFont val="Tahoma"/>
            <family val="0"/>
          </rPr>
          <t>Register the entire lot size, including the space the building sits on.
If the lot is shared by a number of households (such as in apartment buildings), divide the lot area by the number of households.
True wilderness areas which are preserved forever and which are part of the property are not counted as an additional footprint. These spaces are considered to be a biodiversity area in service of humanity as a whole.</t>
        </r>
      </text>
    </comment>
    <comment ref="D61" authorId="1">
      <text>
        <r>
          <rPr>
            <sz val="8"/>
            <rFont val="Tahoma"/>
            <family val="0"/>
          </rPr>
          <t xml:space="preserve">Per-capita lot size:
Median single detached house lot size = 0.35 acres, or 15246 sq. ft.
Average household size :  2.62
Square feet/person: 5819
However, this only accounts for single detached houses, and would need to be adjusted downward slightly to account for apartments and smaller units. </t>
        </r>
      </text>
    </comment>
    <comment ref="B64" authorId="1">
      <text>
        <r>
          <rPr>
            <sz val="8"/>
            <rFont val="Tahoma"/>
            <family val="0"/>
          </rPr>
          <t xml:space="preserve">For composition of electricity:
Your local electricity provider should be able to give you a breakdown of the composition of electricity generation for your electricity use (usually this information is sent with your electricity bill).
For instance, the following breakdown is the "1999 California Power Mix" provided by Pacific Gas and Electric:
  67% coal, nat. gas and nuclear 
  20% large hydroelectric 
     3% small hydroelectric 
      2% wind
      1% solar
      2% biomass
      5% geothermal
       </t>
        </r>
      </text>
    </comment>
    <comment ref="D64" authorId="1">
      <text>
        <r>
          <rPr>
            <sz val="8"/>
            <rFont val="Tahoma"/>
            <family val="0"/>
          </rPr>
          <t>Per-capita electricity consumption:
323 kWh/capita/month</t>
        </r>
      </text>
    </comment>
    <comment ref="D66" authorId="1">
      <text>
        <r>
          <rPr>
            <sz val="8"/>
            <rFont val="Tahoma"/>
            <family val="0"/>
          </rPr>
          <t>Average breakdown of electricity generation in the US:
Fossil-fuels: 70%
nuclear: 20%
hydroelectric: 9%
solar: 0.02%
wind:  0.1%
geothermal: 0.5%
wood: 1%
waste: 0.6%
The distribution will vary by region.  Contact your electricity provider to find out your local electricity breakdown (see cell B63).</t>
        </r>
      </text>
    </comment>
    <comment ref="G66" authorId="1">
      <text>
        <r>
          <rPr>
            <sz val="8"/>
            <rFont val="Tahoma"/>
            <family val="0"/>
          </rPr>
          <t xml:space="preserve">Fossil energy footprint of thermally produced electricity:
3.6 MJ/kWh = energy intensity of production
% of  = amount of energy transfer due to energy loss in conversion from the primary energy source to electricity (in generating and delivering electricity, 70% of the energy is lost).
percentage of electricity= component of total electricity generated from thermal sources
</t>
        </r>
      </text>
    </comment>
    <comment ref="D68" authorId="2">
      <text>
        <r>
          <rPr>
            <sz val="8"/>
            <rFont val="Tahoma"/>
            <family val="2"/>
          </rPr>
          <t xml:space="preserve">9% represents all US hydropower, some of which is from microhydro.  Until we find data identifying this proportion, we put all hydropower in the large scale category. </t>
        </r>
      </text>
    </comment>
    <comment ref="K68" authorId="1">
      <text>
        <r>
          <rPr>
            <sz val="8"/>
            <rFont val="Tahoma"/>
            <family val="0"/>
          </rPr>
          <t>From "Our Ecological Footprint," by M. Wackernagel and W. Rees:
10000/200000 = square meters of built-up land per MJ
3.6 = MJ/kWh
assumed to inundate average quality land, hence equivalence and yield factors of 1.0</t>
        </r>
      </text>
    </comment>
    <comment ref="I69" authorId="1">
      <text>
        <r>
          <rPr>
            <sz val="8"/>
            <rFont val="Tahoma"/>
            <family val="0"/>
          </rPr>
          <t xml:space="preserve">From "Our Ecological Footprint," by M. Wackernagel and W. Rees:
10000/15000000 = square meters of pasture land per MJ
3.6 = MJ/kWh
</t>
        </r>
      </text>
    </comment>
    <comment ref="D70" authorId="2">
      <text>
        <r>
          <rPr>
            <sz val="8"/>
            <rFont val="Tahoma"/>
            <family val="2"/>
          </rPr>
          <t xml:space="preserve">0.02% represents all US solar power, some of which is from rooftop systems.  Until we find data identifying this proportion, we put all solar power in one category. </t>
        </r>
      </text>
    </comment>
    <comment ref="K70" authorId="1">
      <text>
        <r>
          <rPr>
            <sz val="8"/>
            <rFont val="Tahoma"/>
            <family val="0"/>
          </rPr>
          <t>Assumes that 3000 kWh can be produced from 24 m2 of PV panels (0.75  roughly estimates the embodied energy of PV).</t>
        </r>
      </text>
    </comment>
    <comment ref="K71" authorId="3">
      <text>
        <r>
          <rPr>
            <sz val="8"/>
            <rFont val="Tahoma"/>
            <family val="2"/>
          </rPr>
          <t>This area not included since roof area already counted in built area category. (underestimates since embodied energy of PV not yet included)</t>
        </r>
      </text>
    </comment>
    <comment ref="K72" authorId="2">
      <text>
        <r>
          <rPr>
            <sz val="8"/>
            <rFont val="Tahoma"/>
            <family val="2"/>
          </rPr>
          <t>Pacca &amp; Horvath, "Greenhouse gas emissions from building and operating electric power plants in the upper Colorado River basin", Env. Sci &amp; Tech 36 (14).
Assumes annual energy output of 5.55 TWh over a 48,950 ha wind farm, 5% of which is occupied by turbines and infrastructure.
Assigned equivalence factor of pasture.</t>
        </r>
      </text>
    </comment>
    <comment ref="C76" authorId="1">
      <text>
        <r>
          <rPr>
            <sz val="8"/>
            <rFont val="Tahoma"/>
            <family val="0"/>
          </rPr>
          <t>There are 1.1 Therms per CCF.
    CCF are one hundred cubic feet. 
    Check over how many days (or months) you are billed. For example, if the bill stretches over 40 days, divide the amount by 40 and multiply by 30 to get the monthly amount. 
If you receive the bill bi-monthly, just divide the amount by two. Note that gas consumption varies considerably with the season.</t>
        </r>
      </text>
    </comment>
    <comment ref="D76" authorId="1">
      <text>
        <r>
          <rPr>
            <sz val="8"/>
            <rFont val="Tahoma"/>
            <family val="0"/>
          </rPr>
          <t>Per-capita natural gas consumption:
17.6 Therms/person/month</t>
        </r>
      </text>
    </comment>
    <comment ref="G76" authorId="1">
      <text>
        <r>
          <rPr>
            <sz val="8"/>
            <rFont val="Tahoma"/>
            <family val="0"/>
          </rPr>
          <t xml:space="preserve">29.3 gives kWh per Therm
3.6 gives MJ/kWh
1/0.3048^3/100 translates m3 into CCF
Here's a second way of calculating it:
1 m3 of gas contains the energy of 8.905 Mcal corresponding to 4.184 more MJ.
</t>
        </r>
      </text>
    </comment>
    <comment ref="D77" authorId="3">
      <text>
        <r>
          <rPr>
            <sz val="8"/>
            <rFont val="Tahoma"/>
            <family val="2"/>
          </rPr>
          <t>Average per-capita LPG consumption:
1.2 gallons/person/month</t>
        </r>
      </text>
    </comment>
    <comment ref="G77" authorId="1">
      <text>
        <r>
          <rPr>
            <sz val="8"/>
            <rFont val="Tahoma"/>
            <family val="0"/>
          </rPr>
          <t xml:space="preserve">Liquid petroleum gas receives carbon intensity equal to natural gas.
One liter of LPG contains about 25 MJ. 
</t>
        </r>
      </text>
    </comment>
    <comment ref="C78" authorId="1">
      <text>
        <r>
          <rPr>
            <sz val="8"/>
            <rFont val="Tahoma"/>
            <family val="0"/>
          </rPr>
          <t xml:space="preserve">A cord of wood is 80 cubic feet (roughly 3 x 4 x 7 feet), and contains roughly 3000 pounds of dry wood. </t>
        </r>
      </text>
    </comment>
    <comment ref="D78" authorId="1">
      <text>
        <r>
          <rPr>
            <sz val="8"/>
            <rFont val="Tahoma"/>
            <family val="0"/>
          </rPr>
          <t>Average per-capita firewood consumption:
.08 cords/year, or  240 pounds</t>
        </r>
      </text>
    </comment>
    <comment ref="J78" authorId="1">
      <text>
        <r>
          <rPr>
            <sz val="8"/>
            <rFont val="Tahoma"/>
            <family val="0"/>
          </rPr>
          <t xml:space="preserve">600 kg/m3 is the average wood density.
0.53 is the waste factor for firewood. It means that for each kg of firewood one needs 0.53 kg of roundwood.
   In this category, the waste factor is significantly smaller than 1 since about twice as much firewood can be produced than roundwood  per m2 and year.
/1.6: the results are divided by the correction factor for the forest footprint of housing. The reason is that the true footprint of firewood can be calculated quite accurately.
</t>
        </r>
      </text>
    </comment>
    <comment ref="D79" authorId="1">
      <text>
        <r>
          <rPr>
            <sz val="8"/>
            <rFont val="Tahoma"/>
            <family val="0"/>
          </rPr>
          <t>Average per-capita fuel oil consumption:
2.4 gallons/person/month</t>
        </r>
      </text>
    </comment>
    <comment ref="J81" authorId="1">
      <text>
        <r>
          <rPr>
            <sz val="8"/>
            <rFont val="Tahoma"/>
            <family val="0"/>
          </rPr>
          <t>The following note explains one possible way to calculate the water footprint.  The forest footprint of water is not included in the overall accounting, however, becasue the water footprint can vary according to local situations.
In humid areas (like the ones around Xalapa, Mexico), forests can generate in wells and springs about 1'500 m3 of fresh water per hectare and year. 
Pastures, in contrast, only generate one tenth of this amount. This at a precipitation level of 15'000 m3 per hectare and year (Secretaría de Desarollo Agropecuario y Pescua, SEDAP, Xalapa 1998).
In places like British Columbia, this water use may be a secondary function of forest use. In Xalapa, however, at the margin, this water production becomes the primary use of the forest area - therefore, it needs to be added to the footprint.</t>
        </r>
      </text>
    </comment>
    <comment ref="J82" authorId="1">
      <text>
        <r>
          <rPr>
            <sz val="8"/>
            <rFont val="Tahoma"/>
            <family val="0"/>
          </rPr>
          <t>The forest sub-total for Housing does not include the water component because the footprint of water can be very dependent on local situations.</t>
        </r>
      </text>
    </comment>
    <comment ref="D88" authorId="2">
      <text>
        <r>
          <rPr>
            <sz val="8"/>
            <rFont val="Tahoma"/>
            <family val="2"/>
          </rPr>
          <t xml:space="preserve">If you are calculating the footprint for your whole household, be sure to enter all miles traveled and gas consumed by the household members.  The transportation footprint is then divided equally among household members. </t>
        </r>
      </text>
    </comment>
    <comment ref="C92" authorId="2">
      <text>
        <r>
          <rPr>
            <sz val="8"/>
            <rFont val="Tahoma"/>
            <family val="2"/>
          </rPr>
          <t>"Person-miles" = vehicle miles x number of household members in the vehicle.</t>
        </r>
      </text>
    </comment>
    <comment ref="D92" authorId="1">
      <text>
        <r>
          <rPr>
            <sz val="8"/>
            <rFont val="Tahoma"/>
            <family val="0"/>
          </rPr>
          <t xml:space="preserve">Per-capita transit bus use:
7 passenger-miles/person/month
</t>
        </r>
      </text>
    </comment>
    <comment ref="G92" authorId="3">
      <text>
        <r>
          <rPr>
            <sz val="8"/>
            <rFont val="Tahoma"/>
            <family val="2"/>
          </rPr>
          <t xml:space="preserve">For Fossil Energy Component of Transit Bus Footprint:
4.7 = MJ/km including embodied energy 
(see Transport sheet)
</t>
        </r>
      </text>
    </comment>
    <comment ref="K92" authorId="1">
      <text>
        <r>
          <rPr>
            <sz val="8"/>
            <rFont val="Tahoma"/>
            <family val="0"/>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D93" authorId="2">
      <text>
        <r>
          <rPr>
            <sz val="8"/>
            <rFont val="Tahoma"/>
            <family val="2"/>
          </rPr>
          <t xml:space="preserve">Per-capita intercity bus use:
38 passenger-miles/person/month
</t>
        </r>
      </text>
    </comment>
    <comment ref="G93" authorId="2">
      <text>
        <r>
          <rPr>
            <sz val="8"/>
            <rFont val="Tahoma"/>
            <family val="2"/>
          </rPr>
          <t>For Fossil Energy Component of Intercity Bus Footprint:
1.1 = MJ/km including embodied energy 
(see Transport sheet)</t>
        </r>
      </text>
    </comment>
    <comment ref="K93" authorId="2">
      <text>
        <r>
          <rPr>
            <sz val="8"/>
            <rFont val="Tahoma"/>
            <family val="2"/>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D94" authorId="2">
      <text>
        <r>
          <rPr>
            <sz val="8"/>
            <rFont val="Tahoma"/>
            <family val="2"/>
          </rPr>
          <t xml:space="preserve">Per-capita transit rail use:
7 passenger-miles/person/month
</t>
        </r>
      </text>
    </comment>
    <comment ref="G94" authorId="2">
      <text>
        <r>
          <rPr>
            <sz val="8"/>
            <rFont val="Tahoma"/>
            <family val="2"/>
          </rPr>
          <t>For Fossil Energy Component of transit rail Footprint:
3 = MJ/km including embodied energy 
(see Transport sheet)</t>
        </r>
      </text>
    </comment>
    <comment ref="K94" authorId="2">
      <text>
        <r>
          <rPr>
            <sz val="8"/>
            <rFont val="Tahoma"/>
            <family val="2"/>
          </rPr>
          <t xml:space="preserve">Calculation for built-up area occupied by transit rail travel (allocated to miles travelled):
6603 miles = total transit rail mileage (Bureau of Trans. Stats.)
1609 = meters/mile
15 meters = estimated track corridor width 
(2.11*10^10) = total transit rail passenger miles travelled per year in the US (Bureau of Trans. Stats.)
</t>
        </r>
      </text>
    </comment>
    <comment ref="D95" authorId="2">
      <text>
        <r>
          <rPr>
            <sz val="8"/>
            <rFont val="Tahoma"/>
            <family val="2"/>
          </rPr>
          <t xml:space="preserve">Per-capita Amtrak use:
2 passenger-miles/person/month
</t>
        </r>
      </text>
    </comment>
    <comment ref="G95" authorId="2">
      <text>
        <r>
          <rPr>
            <sz val="8"/>
            <rFont val="Tahoma"/>
            <family val="2"/>
          </rPr>
          <t>For Fossil Energy Component of intercity rail Footprint:
3 = MJ/km including embodied energy 
(see Transport sheet)</t>
        </r>
      </text>
    </comment>
    <comment ref="K95" authorId="2">
      <text>
        <r>
          <rPr>
            <sz val="8"/>
            <rFont val="Tahoma"/>
            <family val="2"/>
          </rPr>
          <t xml:space="preserve">Calculation for built-up area occupied by Amtrak travel (allocated to miles travelled):
25,000 miles = total Amtrak rail mileage (Bureau of Trans. Stats.)
1609 = meters/mile
15 meters = estimated track corridor width 
(5200*10^6) = total Amtrak passenger miles travelled per year in the US (Bureau of Trans. Stats.)
</t>
        </r>
      </text>
    </comment>
    <comment ref="C96" authorId="2">
      <text>
        <r>
          <rPr>
            <sz val="8"/>
            <rFont val="Tahoma"/>
            <family val="2"/>
          </rPr>
          <t>If some of these miles involved carpooling with non-household members, then only enter the mileage that can be allocated to you and other household members.</t>
        </r>
      </text>
    </comment>
    <comment ref="D96" authorId="1">
      <text>
        <r>
          <rPr>
            <sz val="8"/>
            <rFont val="Tahoma"/>
            <family val="0"/>
          </rPr>
          <t xml:space="preserve">Per-capita car use:
738
vehicle miles/person/ month
</t>
        </r>
      </text>
    </comment>
    <comment ref="G96"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96" authorId="1">
      <text>
        <r>
          <rPr>
            <sz val="8"/>
            <rFont val="Tahoma"/>
            <family val="0"/>
          </rPr>
          <t xml:space="preserve">Calculation for built-up area occupied by roads (allocated to miles traveled):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
</t>
        </r>
      </text>
    </comment>
    <comment ref="D97" authorId="2">
      <text>
        <r>
          <rPr>
            <sz val="8"/>
            <rFont val="Tahoma"/>
            <family val="2"/>
          </rPr>
          <t>Average US car fuel efficiency  is 20 mpg.</t>
        </r>
      </text>
    </comment>
    <comment ref="C98" authorId="2">
      <text>
        <r>
          <rPr>
            <sz val="8"/>
            <rFont val="Tahoma"/>
            <family val="2"/>
          </rPr>
          <t>Enter the miles that you drove someone else's car or that you rode in someone else's car, if you were not driving.
If some of these miles involved carpooling with non-household members, then only enter the mileage that can be allocated to you and other household members.</t>
        </r>
      </text>
    </comment>
    <comment ref="D98" authorId="1">
      <text>
        <r>
          <rPr>
            <sz val="8"/>
            <rFont val="Tahoma"/>
            <family val="0"/>
          </rPr>
          <t xml:space="preserve">Per-capita taxi/ other car/ rental use:
no data
</t>
        </r>
      </text>
    </comment>
    <comment ref="G98"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98" authorId="1">
      <text>
        <r>
          <rPr>
            <sz val="8"/>
            <rFont val="Tahoma"/>
            <family val="0"/>
          </rPr>
          <t>Calculation for built-up area occupied by roads (allocated to miles travelled):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t>
        </r>
      </text>
    </comment>
    <comment ref="C100" authorId="2">
      <text>
        <r>
          <rPr>
            <sz val="8"/>
            <rFont val="Tahoma"/>
            <family val="2"/>
          </rPr>
          <t>If you took or were a passenger for some of these miles, then only enter the mileage that can be allocated to you and other household members.</t>
        </r>
      </text>
    </comment>
    <comment ref="D100" authorId="2">
      <text>
        <r>
          <rPr>
            <sz val="8"/>
            <rFont val="Tahoma"/>
            <family val="2"/>
          </rPr>
          <t xml:space="preserve">Per-capita motorcycle use:
3 vehicle miles/person/ month
</t>
        </r>
      </text>
    </comment>
    <comment ref="G100"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100" authorId="1">
      <text>
        <r>
          <rPr>
            <sz val="8"/>
            <rFont val="Tahoma"/>
            <family val="0"/>
          </rPr>
          <t>Calculation for built-up area occupied by roads (allocated to miles travelled):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t>
        </r>
      </text>
    </comment>
    <comment ref="D101" authorId="2">
      <text>
        <r>
          <rPr>
            <sz val="8"/>
            <rFont val="Tahoma"/>
            <family val="2"/>
          </rPr>
          <t>Average motorcycle fuel efficiency  is estimated to be 35 mpg.</t>
        </r>
      </text>
    </comment>
    <comment ref="C102" authorId="2">
      <text>
        <r>
          <rPr>
            <sz val="8"/>
            <rFont val="Tahoma"/>
            <family val="2"/>
          </rPr>
          <t>"Person-hours" = hours of flying x number of household members on the flight.</t>
        </r>
      </text>
    </comment>
    <comment ref="D102" authorId="1">
      <text>
        <r>
          <rPr>
            <sz val="8"/>
            <rFont val="Tahoma"/>
            <family val="0"/>
          </rPr>
          <t>Per-capita air travel (with airlines)
0.4 passenger-hours/month/person</t>
        </r>
      </text>
    </comment>
    <comment ref="G102" authorId="1">
      <text>
        <r>
          <rPr>
            <sz val="8"/>
            <rFont val="Tahoma"/>
            <family val="0"/>
          </rPr>
          <t xml:space="preserve">For Fossil Energy Component of Airplane Footprint:
3.1 = MJ/km, including embodied energy of airport infrastructure. (see Transport sheet)
800 = km/hr
</t>
        </r>
      </text>
    </comment>
    <comment ref="B108" authorId="1">
      <text>
        <r>
          <rPr>
            <sz val="8"/>
            <rFont val="Tahoma"/>
            <family val="0"/>
          </rPr>
          <t>In this row you should enter not just cotton clothing, but all cotton textile and other products.</t>
        </r>
      </text>
    </comment>
    <comment ref="D108" authorId="1">
      <text>
        <r>
          <rPr>
            <sz val="8"/>
            <rFont val="Tahoma"/>
            <family val="0"/>
          </rPr>
          <t xml:space="preserve">Average Per-Capita Consumption of cotton textiles:
1.3 lbs/month
</t>
        </r>
      </text>
    </comment>
    <comment ref="B109" authorId="1">
      <text>
        <r>
          <rPr>
            <sz val="8"/>
            <rFont val="Tahoma"/>
            <family val="0"/>
          </rPr>
          <t>In this row you should enter not just wool clothing, but all wool textile and other products.</t>
        </r>
      </text>
    </comment>
    <comment ref="D109" authorId="1">
      <text>
        <r>
          <rPr>
            <sz val="8"/>
            <rFont val="Tahoma"/>
            <family val="0"/>
          </rPr>
          <t xml:space="preserve">Average Per-Capita Consumption of wool textiles:
0.1 lb/month
</t>
        </r>
      </text>
    </comment>
    <comment ref="B110" authorId="1">
      <text>
        <r>
          <rPr>
            <sz val="8"/>
            <rFont val="Tahoma"/>
            <family val="0"/>
          </rPr>
          <t>In this row you should enter not just synthetic fiber clothing, but all synthetic fiber textile and other products.</t>
        </r>
      </text>
    </comment>
    <comment ref="D110" authorId="1">
      <text>
        <r>
          <rPr>
            <sz val="8"/>
            <rFont val="Tahoma"/>
            <family val="0"/>
          </rPr>
          <t xml:space="preserve">Average Per-Capita Consumption of synthetic  textiles:
0.5 lb/month
</t>
        </r>
      </text>
    </comment>
    <comment ref="D111" authorId="1">
      <text>
        <r>
          <rPr>
            <sz val="8"/>
            <rFont val="Tahoma"/>
            <family val="0"/>
          </rPr>
          <t>Average per-capita construction wooden furniture consumption:
no data</t>
        </r>
      </text>
    </comment>
    <comment ref="J111" authorId="1">
      <text>
        <r>
          <rPr>
            <sz val="8"/>
            <rFont val="Tahoma"/>
            <family val="0"/>
          </rPr>
          <t>600 kg/m3 is the average wood density.
2.2 is the waste factor</t>
        </r>
      </text>
    </comment>
    <comment ref="D112" authorId="1">
      <text>
        <r>
          <rPr>
            <sz val="8"/>
            <rFont val="Tahoma"/>
            <family val="0"/>
          </rPr>
          <t>Average per-capita construction plastic/metal furniture consumption:
no data</t>
        </r>
      </text>
    </comment>
    <comment ref="B116" authorId="1">
      <text>
        <r>
          <rPr>
            <sz val="8"/>
            <rFont val="Tahoma"/>
            <family val="0"/>
          </rPr>
          <t>This line includes all long-lasting paper and hygenic paper that is not recycled.
   All paper that could be recycled is counted in the waste section. This recycled paper includes newspapers, mail, advertising, paper packaging, household paper, wrapping paper etc.</t>
        </r>
      </text>
    </comment>
    <comment ref="D116" authorId="1">
      <text>
        <r>
          <rPr>
            <sz val="8"/>
            <rFont val="Tahoma"/>
            <family val="0"/>
          </rPr>
          <t xml:space="preserve">Average Per-Capita Consumption of Durable Paper Products and Hygenic Paper Products:
3 lbs/month
</t>
        </r>
      </text>
    </comment>
    <comment ref="G116" authorId="1">
      <text>
        <r>
          <rPr>
            <sz val="8"/>
            <rFont val="Tahoma"/>
            <family val="0"/>
          </rPr>
          <t xml:space="preserve">For Fossil Energy Component of Paper Products:
35 = Energy Intensity of Paper Products
</t>
        </r>
      </text>
    </comment>
    <comment ref="J116" authorId="1">
      <text>
        <r>
          <rPr>
            <sz val="8"/>
            <rFont val="Tahoma"/>
            <family val="0"/>
          </rPr>
          <t>For Forest Component of Paper Products:
1.65 is the ratio of roundwood needed per unit of paper.</t>
        </r>
      </text>
    </comment>
    <comment ref="D117" authorId="1">
      <text>
        <r>
          <rPr>
            <sz val="8"/>
            <rFont val="Tahoma"/>
            <family val="0"/>
          </rPr>
          <t xml:space="preserve">Per-capita car parts:
0.2 pounds/ person/ year
   (this figure includes only tires and batteries)
</t>
        </r>
      </text>
    </comment>
    <comment ref="D118" authorId="1">
      <text>
        <r>
          <rPr>
            <sz val="8"/>
            <rFont val="Tahoma"/>
            <family val="0"/>
          </rPr>
          <t xml:space="preserve">Average Per-Capita Consumption of metal items:
8 lbs/month
</t>
        </r>
      </text>
    </comment>
    <comment ref="G118" authorId="1">
      <text>
        <r>
          <rPr>
            <sz val="8"/>
            <rFont val="Tahoma"/>
            <family val="0"/>
          </rPr>
          <t>60 is the energy intensity in MJ/kg
IF($H$9="m",1,0.454) translates kilograms into pounds</t>
        </r>
      </text>
    </comment>
    <comment ref="D119" authorId="1">
      <text>
        <r>
          <rPr>
            <sz val="8"/>
            <rFont val="Tahoma"/>
            <family val="0"/>
          </rPr>
          <t xml:space="preserve">Average Per-Capita Consumption of Leather Products:
0.5 lb/month
</t>
        </r>
      </text>
    </comment>
    <comment ref="D120" authorId="1">
      <text>
        <r>
          <rPr>
            <sz val="8"/>
            <rFont val="Tahoma"/>
            <family val="0"/>
          </rPr>
          <t xml:space="preserve">Average Per-Capita Consumption of Plastic Products and Photos:
10 lbs/month
</t>
        </r>
      </text>
    </comment>
    <comment ref="D121" authorId="1">
      <text>
        <r>
          <rPr>
            <sz val="8"/>
            <rFont val="Tahoma"/>
            <family val="0"/>
          </rPr>
          <t xml:space="preserve">Average Per-Capita Consumption of Porcelain and Glass Products:
3 lbs/month
</t>
        </r>
      </text>
    </comment>
    <comment ref="D122" authorId="1">
      <text>
        <r>
          <rPr>
            <sz val="8"/>
            <rFont val="Tahoma"/>
            <family val="0"/>
          </rPr>
          <t xml:space="preserve">Average Per-Capita Consumption of Medicine:
2 lbs/month
</t>
        </r>
      </text>
    </comment>
    <comment ref="D123" authorId="1">
      <text>
        <r>
          <rPr>
            <sz val="8"/>
            <rFont val="Tahoma"/>
            <family val="0"/>
          </rPr>
          <t xml:space="preserve">Average Per-Capita Consumption of Hygiene Products and Cleaning Stuff:
2 lbs/month
</t>
        </r>
      </text>
    </comment>
    <comment ref="D124" authorId="1">
      <text>
        <r>
          <rPr>
            <sz val="8"/>
            <rFont val="Tahoma"/>
            <family val="0"/>
          </rPr>
          <t xml:space="preserve">Average Per-Capita Consumption of Cigarettes:
0.4 lbs/month
</t>
        </r>
      </text>
    </comment>
    <comment ref="K125" authorId="1">
      <text>
        <r>
          <rPr>
            <sz val="8"/>
            <rFont val="Tahoma"/>
            <family val="0"/>
          </rPr>
          <t xml:space="preserve">Built-up Land Footprint Component of Goods:
244 m2 is the estimated average US per capita built-up land footprint component for goods (which also includes wastes, sinces wastes are non-durable goods and the byproducts of durable goods).  
Since not all goods are present in this analysis, we estimate the built up area for each component by taking the fossil fuel areas for waste and goods, and using these numbers to allocate proportionally the built-up area for goods and waste.
</t>
        </r>
      </text>
    </comment>
    <comment ref="B128" authorId="1">
      <text>
        <r>
          <rPr>
            <sz val="8"/>
            <rFont val="Tahoma"/>
            <family val="0"/>
          </rPr>
          <t>This line only covers the transportation energy of mail. The paper content is accounted for separately in the paper line. Note: count only all the mail you send out or all the mail you receive, otherwise it leads to double counting.</t>
        </r>
      </text>
    </comment>
    <comment ref="D129" authorId="1">
      <text>
        <r>
          <rPr>
            <sz val="8"/>
            <rFont val="Tahoma"/>
            <family val="0"/>
          </rPr>
          <t>Average Per-Capita International Postal Services:
0.2 lbs/month</t>
        </r>
      </text>
    </comment>
    <comment ref="D130" authorId="1">
      <text>
        <r>
          <rPr>
            <sz val="8"/>
            <rFont val="Tahoma"/>
            <family val="0"/>
          </rPr>
          <t>Average Per-Capita Domestic Postal Services:
4.0 lbs/month</t>
        </r>
      </text>
    </comment>
    <comment ref="D131" authorId="1">
      <text>
        <r>
          <rPr>
            <sz val="8"/>
            <rFont val="Tahoma"/>
            <family val="0"/>
          </rPr>
          <t>Per-capita expenditure on Hotels, Motels, Camping:
= $15 /month</t>
        </r>
      </text>
    </comment>
    <comment ref="G131" authorId="1">
      <text>
        <r>
          <rPr>
            <sz val="8"/>
            <rFont val="Tahoma"/>
            <family val="0"/>
          </rPr>
          <t>Hotel energy costs are estimated from the average resource use of households.
Carbon absorption factor multiplied by 1000 to convert from m2/MJ/yr to m2/GJ/yr
We assume an average house in the US (with the land) would cost 150,000 dollars and has 2000 square feet. This corresponds to a monthly mortgage cost of 1000 dollars.
In addition, each square foot may use the equivalent of 36 MJ of energy per year, including hot water and electricity, or 3 per month times 2000 square feet = 6000 MJ/month, or 6 MJ per dollar.
Apart from the energy aspect, if you enter 1000 dollars a month, you should get the same result as a 2,000 square foot house.  If you delete the second term in the energy column (which corresponds to the 6 MJ per dollar operational energy), the energy column also should be the same.</t>
        </r>
      </text>
    </comment>
    <comment ref="J131" authorId="1">
      <text>
        <r>
          <rPr>
            <sz val="8"/>
            <rFont val="Tahoma"/>
            <family val="0"/>
          </rPr>
          <t xml:space="preserve">An average Canadian house uses 23.6 m3 of wood and may last 40 years (Government of Canada, 1991. The State of Canada's Environment. Ministry of Environment, Ottawa). The house may contain 150 m2 of living space.  2.2 is the ratio of roundwood needed per unit of construction wood. 
Also, the hotel costs are estimated from the average resource use of households.
We assume an averege US house would cost 150,000 dollars (with land) and has 2000 square feet.  This corresponds to a monthly mortgage cost of 1000 dollars.
</t>
        </r>
      </text>
    </comment>
    <comment ref="D132" authorId="2">
      <text>
        <r>
          <rPr>
            <sz val="8"/>
            <rFont val="Tahoma"/>
            <family val="2"/>
          </rPr>
          <t>Average Per-Capita Water, sewer, garbage service:
$9 per person per month</t>
        </r>
      </text>
    </comment>
    <comment ref="G132" authorId="2">
      <text>
        <r>
          <rPr>
            <sz val="8"/>
            <rFont val="Tahoma"/>
            <family val="2"/>
          </rPr>
          <t xml:space="preserve">For Fossil Energy Footprint of water, sewer, garbage service
12 MJ/$ = Estimated Energy Intensity </t>
        </r>
      </text>
    </comment>
    <comment ref="B133" authorId="1">
      <text>
        <r>
          <rPr>
            <sz val="8"/>
            <rFont val="Tahoma"/>
            <family val="0"/>
          </rPr>
          <t>The laundry in the household is already accounted for through the energy use of the household, the detergents purchased, and through the water use (which is not accounted for in this spread sheet). Counting all laundry here would lead to double counting.</t>
        </r>
      </text>
    </comment>
    <comment ref="D133" authorId="1">
      <text>
        <r>
          <rPr>
            <sz val="8"/>
            <rFont val="Tahoma"/>
            <family val="0"/>
          </rPr>
          <t>Average per-capita dry cleaning and external laundry services:
no data</t>
        </r>
      </text>
    </comment>
    <comment ref="G133" authorId="2">
      <text>
        <r>
          <rPr>
            <sz val="8"/>
            <rFont val="Tahoma"/>
            <family val="2"/>
          </rPr>
          <t xml:space="preserve">For Fossil Energy Footprint of Dry cleaning and laundry service
6 MJ/$ = Estimated Energy Intensity </t>
        </r>
      </text>
    </comment>
    <comment ref="D134" authorId="1">
      <text>
        <r>
          <rPr>
            <sz val="8"/>
            <rFont val="Tahoma"/>
            <family val="0"/>
          </rPr>
          <t>Average Per-Capita Telephone service:
$27 per person per month</t>
        </r>
      </text>
    </comment>
    <comment ref="G134" authorId="1">
      <text>
        <r>
          <rPr>
            <sz val="8"/>
            <rFont val="Tahoma"/>
            <family val="0"/>
          </rPr>
          <t xml:space="preserve">For Fossil Energy Footprint of Telephone service
1 MJ/$ = Estimated Energy Intensity </t>
        </r>
      </text>
    </comment>
    <comment ref="D135" authorId="1">
      <text>
        <r>
          <rPr>
            <sz val="8"/>
            <rFont val="Tahoma"/>
            <family val="0"/>
          </rPr>
          <t>Average Per-Capita Medical Insurance and services:
$47 per person per month</t>
        </r>
      </text>
    </comment>
    <comment ref="G135" authorId="1">
      <text>
        <r>
          <rPr>
            <sz val="8"/>
            <rFont val="Tahoma"/>
            <family val="0"/>
          </rPr>
          <t>For Fossil Energy Footprint of Medical Insurance and services:
4 MJ/$ = Estimated Energy Intensity</t>
        </r>
      </text>
    </comment>
    <comment ref="D136" authorId="1">
      <text>
        <r>
          <rPr>
            <sz val="8"/>
            <rFont val="Tahoma"/>
            <family val="0"/>
          </rPr>
          <t>Average Per-Capita Household Insurance:
$27 per person per month</t>
        </r>
      </text>
    </comment>
    <comment ref="G136" authorId="1">
      <text>
        <r>
          <rPr>
            <sz val="8"/>
            <rFont val="Tahoma"/>
            <family val="0"/>
          </rPr>
          <t xml:space="preserve">Carbon absorption factor multiplied by 1000 to convert from m2/MJ/yr to m2/GJ/yr
Assuming that half of the money goes to administration, and half insurance claims (rebuilding houses) the rebuilding houses figures are taken from the hotel category (excluding the operational energy part). Since rebuilding of houses does not include land prices, the resource intensity is doubled (assuming that half the cost of housing is land, and half is construction).
</t>
        </r>
      </text>
    </comment>
    <comment ref="J136" authorId="2">
      <text>
        <r>
          <rPr>
            <sz val="8"/>
            <rFont val="Tahoma"/>
            <family val="2"/>
          </rPr>
          <t xml:space="preserve">An average Canadian house uses 23.6 m3 of wood and may last 40 years (Government of Canada, 1991. The State of Canada's Environment. Ministry of Environment, Ottawa). The house may contain 150 m2 of living space. 
Also, the hotel costs are estimated from the average resource use of households.
We assume an averege US house would cost 150,000 dollars (with land) and has 2000 square feet.  This corresponds to a monthly mortgage cost of 1000 dollars.
</t>
        </r>
      </text>
    </comment>
    <comment ref="D137" authorId="1">
      <text>
        <r>
          <rPr>
            <sz val="8"/>
            <rFont val="Tahoma"/>
            <family val="0"/>
          </rPr>
          <t>Average Per-Capita Entertainment (fees, admissions and services):
$24 per person per month</t>
        </r>
      </text>
    </comment>
    <comment ref="G137" authorId="1">
      <text>
        <r>
          <rPr>
            <sz val="8"/>
            <rFont val="Tahoma"/>
            <family val="0"/>
          </rPr>
          <t>For Fossil Energy Footprint of Entertainment:
6 MJ/$ = Estimated Energy Intensity</t>
        </r>
      </text>
    </comment>
    <comment ref="D138" authorId="1">
      <text>
        <r>
          <rPr>
            <sz val="8"/>
            <rFont val="Tahoma"/>
            <family val="0"/>
          </rPr>
          <t>Average Per-Capita Education Services:
$20 per person per month</t>
        </r>
      </text>
    </comment>
    <comment ref="G138" authorId="1">
      <text>
        <r>
          <rPr>
            <sz val="8"/>
            <rFont val="Tahoma"/>
            <family val="0"/>
          </rPr>
          <t xml:space="preserve">For Fossil Energy Footprint of Education:
3 MJ/$ = Estimated Energy Intensity </t>
        </r>
      </text>
    </comment>
    <comment ref="K139" authorId="1">
      <text>
        <r>
          <rPr>
            <sz val="8"/>
            <rFont val="Tahoma"/>
            <family val="0"/>
          </rPr>
          <t xml:space="preserve">Built-up Land Footprint Component of Services:
244 m2 is the estimated average US per capita built-up land footprint component for services.  
Since not all services are present in this analysis, we estimate the built up area for each component by taking the fossil fuel areas for services, and using these numbers to allocate proportionally the built-up area for services.
</t>
        </r>
      </text>
    </comment>
    <comment ref="B143" authorId="1">
      <text>
        <r>
          <rPr>
            <sz val="8"/>
            <rFont val="Tahoma"/>
            <family val="0"/>
          </rPr>
          <t xml:space="preserve">   All paper that could be recycled is counted in the waste section. This recycled paper includes newspapers, mail, advertising, paper packaging, household paper, wrapping paper etc.
Account only once for the paper: either on the incoming side or on the waste side.</t>
        </r>
      </text>
    </comment>
    <comment ref="D143" authorId="1">
      <text>
        <r>
          <rPr>
            <sz val="8"/>
            <rFont val="Tahoma"/>
            <family val="0"/>
          </rPr>
          <t>Per-Capita Paper Waste
21 lbs/person/month</t>
        </r>
      </text>
    </comment>
    <comment ref="G143" authorId="1">
      <text>
        <r>
          <rPr>
            <sz val="8"/>
            <rFont val="Tahoma"/>
            <family val="0"/>
          </rPr>
          <t xml:space="preserve">Paper has an energy intensity of 35 MJ/kg.
(1-% recycled/100*0.45) calculates to what extent energy is recuperated.  % recylced gives the percentage of recycling in the household; 0.45 is the percentage of energy that can be saved through recycling. ("Too Good To Throw Away," NRDC)
</t>
        </r>
      </text>
    </comment>
    <comment ref="J143" authorId="2">
      <text>
        <r>
          <rPr>
            <sz val="8"/>
            <rFont val="Tahoma"/>
            <family val="2"/>
          </rPr>
          <t>For Forest Component of Paper Products:
1.65 is the ratio of roundwood needed per unit of paper</t>
        </r>
      </text>
    </comment>
    <comment ref="D144" authorId="1">
      <text>
        <r>
          <rPr>
            <sz val="8"/>
            <rFont val="Tahoma"/>
            <family val="0"/>
          </rPr>
          <t>Per-Capita Aluminum Waste
1 lbs/capita/month</t>
        </r>
      </text>
    </comment>
    <comment ref="G144" authorId="1">
      <text>
        <r>
          <rPr>
            <sz val="8"/>
            <rFont val="Tahoma"/>
            <family val="0"/>
          </rPr>
          <t xml:space="preserve">Aluminum has an energy intensity of 
250 MJ/kg.
(1-% recycled/100*0.95) calculates to what extent energy is recuperated.  % recycled gives the percentage of recycling in the household; 0.95 is the percentage of energy that can be saved through recycling. ("Too Good To Throw Away," NRDC)
</t>
        </r>
      </text>
    </comment>
    <comment ref="D145" authorId="1">
      <text>
        <r>
          <rPr>
            <sz val="8"/>
            <rFont val="Tahoma"/>
            <family val="0"/>
          </rPr>
          <t xml:space="preserve">Per-Capita Other Metal Waste
2 lbs/capita/month
 </t>
        </r>
      </text>
    </comment>
    <comment ref="G145" authorId="1">
      <text>
        <r>
          <rPr>
            <sz val="8"/>
            <rFont val="Tahoma"/>
            <family val="0"/>
          </rPr>
          <t xml:space="preserve">Magnetic metals have an energy intensity of 
60 MJ/kg.
(1-% recylced/100*0.15) calculates to what extent energy is recuperated.  % recycled gives the percentage of recycling in the household; 0.15 is the percentage of energy that can be saved through recycling. ("Too Good To Be True," NRDC)
</t>
        </r>
      </text>
    </comment>
    <comment ref="D146" authorId="1">
      <text>
        <r>
          <rPr>
            <sz val="8"/>
            <rFont val="Tahoma"/>
            <family val="0"/>
          </rPr>
          <t xml:space="preserve">Per-Capita Glass Waste
5 lbs/capita/month
</t>
        </r>
      </text>
    </comment>
    <comment ref="G146" authorId="1">
      <text>
        <r>
          <rPr>
            <sz val="8"/>
            <rFont val="Tahoma"/>
            <family val="0"/>
          </rPr>
          <t xml:space="preserve">Glass has an energy intensity of 
15 MJ/kg.
(1-% recycled/100*0.3) calculates to what extent energy is recuperated.  % recycled gives the percentage of recycling in the household; 0.3 is the percentage of energy that can be saved through recycling. ("Too Good To Throw Away," NRDC)
</t>
        </r>
      </text>
    </comment>
    <comment ref="D147" authorId="1">
      <text>
        <r>
          <rPr>
            <sz val="8"/>
            <rFont val="Tahoma"/>
            <family val="0"/>
          </rPr>
          <t>Per-Capita Plastics Waste
5 lbs/capita/month</t>
        </r>
      </text>
    </comment>
    <comment ref="G147" authorId="1">
      <text>
        <r>
          <rPr>
            <sz val="8"/>
            <rFont val="Tahoma"/>
            <family val="0"/>
          </rPr>
          <t xml:space="preserve">Plastic has an energy intensity of 
50 MJ/kg.
(1-% recycled/100*0.7) calculates to what extent energy is recuperated.  % recycled gives the percentage of recycling in the household; 0.7 is the percentage of energy that can be saved through recycling. ("Too Good to Be Throw Away," NRDC)
</t>
        </r>
      </text>
    </comment>
    <comment ref="K149" authorId="4">
      <text>
        <r>
          <rPr>
            <sz val="8"/>
            <rFont val="Tahoma"/>
            <family val="2"/>
          </rPr>
          <t xml:space="preserve">Built-up Land Footprint Component of Goods:
244 m2 is the estimated average US per capita built-up land footprint component for goods (which also includes wastes, sinces wastes are non-durable goods and the byproducts of durable goods).  
Since not all goods are present in this analysis, we estimate the built up area for each component by taking the fossil fuel areas for waste and goods, and using these numbers to allocate proportionally the built-up area for goods and waste.
</t>
        </r>
      </text>
    </comment>
    <comment ref="D158" authorId="2">
      <text>
        <r>
          <rPr>
            <sz val="8"/>
            <rFont val="Tahoma"/>
            <family val="2"/>
          </rPr>
          <t>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One hectare contains 10'000 square meters or 2.47 acres.</t>
        </r>
      </text>
    </comment>
    <comment ref="N165" authorId="1">
      <text>
        <r>
          <rPr>
            <sz val="8"/>
            <rFont val="Tahoma"/>
            <family val="0"/>
          </rPr>
          <t xml:space="preserve">The Daily Nutrition Analysis uses food consumption data to calculate daily calorie and protein intake from animal and vegetable-based foods.
  The results are not used in this spreadsheet.
</t>
        </r>
      </text>
    </comment>
    <comment ref="M168" authorId="1">
      <text>
        <r>
          <rPr>
            <sz val="8"/>
            <rFont val="Tahoma"/>
            <family val="0"/>
          </rPr>
          <t xml:space="preserve">Daily protein from animal-based products:
Equation sums protein in [g/day] for each animal-based food product.
g/day protein = 
kg/yr * protein g/kg /365
Animal-based product categories and associated protein (g/kg) values:
Milk &amp; yogurt     95
Cheese &amp; butter  177
Eggs                   126
Pork                  161
Chicken             228
Beef                   224
Fish                   210 
Note: protein values (g/day) determined from average of protein values (g/100g) from USDA Nutrient Database for Standard Reference Data.
(www.nal.usda.gov)
</t>
        </r>
      </text>
    </comment>
    <comment ref="N168" authorId="1">
      <text>
        <r>
          <rPr>
            <sz val="8"/>
            <rFont val="Tahoma"/>
            <family val="0"/>
          </rPr>
          <t xml:space="preserve">Daily calories from animal-based products:
Equation sums Calories in [C/day] for each animal-based food product.
C/day = 
kg/yr*C/kg /365
Animal-based product categories and associated Calorie (C/kg) values:
Milk &amp; Yogurt      530
Cheese &amp; Butter 3930
Eggs                    1630
Pork                   4070
Chicken              2220
Beef                    2890
Fish                    1290
Eating Out            700 C/meal
Note: calorie values (C/day) determined from average of calorie values (J/100g) from USDA Nutrient Database for Standard Reference Data.
(www.nal.usda.gov)
</t>
        </r>
      </text>
    </comment>
    <comment ref="M169" authorId="1">
      <text>
        <r>
          <rPr>
            <sz val="8"/>
            <rFont val="Tahoma"/>
            <family val="0"/>
          </rPr>
          <t xml:space="preserve">Daily protein from vegetable-based products:
Equation sums protein in [g/day] for each vegetable-based food product.
g/day protein = 
kg/yr* protein g/kg /365
Vegetable-based product categories and associated protein (g/kg) values:
Veggies, potatoes, fruits  15
Bread                                 80
Rice, Cereals, Noodles     78
Beans                               187
Juice &amp; Wine                   4
Sugar                                0?
Veg. Oil and Fat (solid)    0.0
Veg. Oil and Fat (liquid)   0.0
Tea &amp; Coffee                     0?
Garden                              0?
Eating Out                        0?
Note: protein values (g/day) determined from average of protein values (g/100g) from USDA Nutrient Database for Standard Reference Data.
(www.nal.usda.gov)
</t>
        </r>
      </text>
    </comment>
    <comment ref="N169" authorId="1">
      <text>
        <r>
          <rPr>
            <sz val="8"/>
            <rFont val="Tahoma"/>
            <family val="0"/>
          </rPr>
          <t xml:space="preserve">Daily calories from vegetable-based products:
Equation sums Calories in [C/day] for each vegetable-based food product.
C/day = 
kg/yr * C/kg /365
Vegetable-based product categories and associated Calorie (C/kg) values:
Veggies, Potatoes, Fruits  600
Bread                                 2975
Rice, Cereals, Noodles       2830
Beans                                 2900
Juice &amp; Wine                    520  
Sugar                                0?
Veg. Oil and Fat (solid)    8890
Veg. Oil and Fat (liquid)  
8890
Tea &amp; Coffee                     0?
Garden                              0?
Eating Out                        700 C/meal
Note: calorie values (C/day) determined from average of calorie values (J/100g) from USDA Nutrient Database for Standard Reference Data.
(www.nal.usda.gov)
</t>
        </r>
      </text>
    </comment>
    <comment ref="L171" authorId="1">
      <text>
        <r>
          <rPr>
            <sz val="8"/>
            <rFont val="Tahoma"/>
            <family val="0"/>
          </rPr>
          <t>Based on a 2500 Cal/day diet, which is the recommended value, but not average for the American diet.  The average for the US tends to be around 2900 Cal/day as reported in surveys, but may be even higher, subject to misreporting.</t>
        </r>
      </text>
    </comment>
    <comment ref="N171" authorId="1">
      <text>
        <r>
          <rPr>
            <sz val="8"/>
            <rFont val="Tahoma"/>
            <family val="0"/>
          </rPr>
          <t>USDA RDA for adult males is 2900 Calories per day and 60 g of protein.  For adult females, 2200 Calories per day and approximately 50 g of protein.  The average US diet is approximately 3000 Calories per capita per day.  Consult the USDA or a physician for figures more directly relevant to your personal and health needs.</t>
        </r>
      </text>
    </comment>
    <comment ref="D252" authorId="1">
      <text>
        <r>
          <rPr>
            <sz val="8"/>
            <rFont val="Tahoma"/>
            <family val="0"/>
          </rPr>
          <t>Waste factor for food:
USDA figures reveal that there is on average a ten percent difference between farm weight and retail weight.  The 1.10 in the equations above represents this value.</t>
        </r>
      </text>
    </comment>
    <comment ref="D253" authorId="1">
      <text>
        <r>
          <rPr>
            <sz val="8"/>
            <rFont val="Tahoma"/>
            <family val="0"/>
          </rPr>
          <t>The Structural Consumption multiplier:
This multiplier, which is applied to all the total fossil energy footprint components of each consumption category, is the multiplier calculated in the sheet "Government Footprint Analysis" minus the portion of the multiplier (50%) directly allocated to transportation due to embodied and direct energy consumption of road and highway infrastructure.  The remainder of the multiplier represents the embodied and direct energy consumed by the government to purchase public goods and services.</t>
        </r>
      </text>
    </comment>
    <comment ref="C262" authorId="1">
      <text>
        <r>
          <rPr>
            <sz val="8"/>
            <rFont val="Tahoma"/>
            <family val="0"/>
          </rPr>
          <t xml:space="preserve">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To express footprint results in global hectares, we use "equivalence factors".  This column shows the primary biomass equivalence factors.  The ratio between them represents their relative capacity to produce biomass.  For instance, a factor of 2.2  means that this land category is 2.2 times more productive than world average bioproductive land.
</t>
        </r>
      </text>
    </comment>
    <comment ref="E262" authorId="1">
      <text>
        <r>
          <rPr>
            <sz val="8"/>
            <rFont val="Tahoma"/>
            <family val="0"/>
          </rPr>
          <t xml:space="preserve">This column shows the footprint subcomponent areas without using equivalence factors.   </t>
        </r>
      </text>
    </comment>
    <comment ref="B274" authorId="1">
      <text>
        <r>
          <rPr>
            <sz val="8"/>
            <rFont val="Tahoma"/>
            <family val="0"/>
          </rPr>
          <t xml:space="preserve">The Correction Factors calibrate this household footprint spreadsheet with the national footprint accounts for the U.S., so that the "average" footprints are equal using both assessment methods.
</t>
        </r>
      </text>
    </comment>
  </commentList>
</comments>
</file>

<file path=xl/sharedStrings.xml><?xml version="1.0" encoding="utf-8"?>
<sst xmlns="http://schemas.openxmlformats.org/spreadsheetml/2006/main" count="403" uniqueCount="267">
  <si>
    <t xml:space="preserve"> </t>
  </si>
  <si>
    <t>© Redefining Progress, v 3.2, Feb 2003</t>
  </si>
  <si>
    <t>Enter your income and hours worked:</t>
  </si>
  <si>
    <t>dollars earned per month (after taxes)</t>
  </si>
  <si>
    <t xml:space="preserve">work related dollars spent per month </t>
  </si>
  <si>
    <t>hours of work per week</t>
  </si>
  <si>
    <t>unpaid hours per week for work preparation (commuting, etc.)</t>
  </si>
  <si>
    <t>It takes</t>
  </si>
  <si>
    <t>minutes of life energy to earn one dollar!</t>
  </si>
  <si>
    <t>II. Choose whether you want to work with U.S. or metric measurements:</t>
  </si>
  <si>
    <t>s</t>
  </si>
  <si>
    <t>enter "m" for metric, "s" for US standard</t>
  </si>
  <si>
    <t>IV. Number of people in the household:</t>
  </si>
  <si>
    <t>CATEGORIES</t>
  </si>
  <si>
    <t>Units</t>
  </si>
  <si>
    <t xml:space="preserve"> AMOUNT</t>
  </si>
  <si>
    <t>eqv. amount</t>
  </si>
  <si>
    <t>Dollars</t>
  </si>
  <si>
    <t>FOSSIL</t>
  </si>
  <si>
    <t>CROPLAND</t>
  </si>
  <si>
    <t>PASTURE</t>
  </si>
  <si>
    <t>FOREST</t>
  </si>
  <si>
    <t>BUILT-UP</t>
  </si>
  <si>
    <t>FISHERIES</t>
  </si>
  <si>
    <t>Fulfillment:</t>
  </si>
  <si>
    <t>Did I get fulfillment from this expenditure of life energy?</t>
  </si>
  <si>
    <t>per month</t>
  </si>
  <si>
    <t xml:space="preserve"> per year</t>
  </si>
  <si>
    <t>spent (mth)</t>
  </si>
  <si>
    <t>ENERGY</t>
  </si>
  <si>
    <t>LAND</t>
  </si>
  <si>
    <t xml:space="preserve">+ </t>
  </si>
  <si>
    <t xml:space="preserve">increase for more fulfillment   </t>
  </si>
  <si>
    <t>1.-FOOD</t>
  </si>
  <si>
    <t>(results in uncalibrated global m2)</t>
  </si>
  <si>
    <t xml:space="preserve">- </t>
  </si>
  <si>
    <t xml:space="preserve">decrease for more fulfillment </t>
  </si>
  <si>
    <t xml:space="preserve">0 </t>
  </si>
  <si>
    <t>O.K. as is</t>
  </si>
  <si>
    <t>Enter percentage of food purchased that is wasted rather than eaten in your household.</t>
  </si>
  <si>
    <t>( 26 percent is the national average)</t>
  </si>
  <si>
    <t xml:space="preserve">Alignment: </t>
  </si>
  <si>
    <t>Was this expenditure of life energy in alignment with my stated life purpose?</t>
  </si>
  <si>
    <t xml:space="preserve">How much of the food that you eat is processed, packaged and not locally grown </t>
  </si>
  <si>
    <t>a</t>
  </si>
  <si>
    <t>a.</t>
  </si>
  <si>
    <t>Most of the food I eat is processed, packaged, and from far away</t>
  </si>
  <si>
    <t>After FI:</t>
  </si>
  <si>
    <t>How much might I spend if I didn't have to work for a living?</t>
  </si>
  <si>
    <t>(from more than 200 miles away)?</t>
  </si>
  <si>
    <t>b.</t>
  </si>
  <si>
    <t>Three quarters</t>
  </si>
  <si>
    <t>c.</t>
  </si>
  <si>
    <t>Half</t>
  </si>
  <si>
    <t>Monthly</t>
  </si>
  <si>
    <t>Fulfillment</t>
  </si>
  <si>
    <t>Alignment</t>
  </si>
  <si>
    <t xml:space="preserve"> After FI</t>
  </si>
  <si>
    <t>d.</t>
  </si>
  <si>
    <t>One quarter</t>
  </si>
  <si>
    <t xml:space="preserve">hours of </t>
  </si>
  <si>
    <t>e.</t>
  </si>
  <si>
    <t xml:space="preserve">Very little. Most of the food I eat is unprocessed, unpackaged and locally grown. </t>
  </si>
  <si>
    <t xml:space="preserve">life energy </t>
  </si>
  <si>
    <t>mark +, 0 or -</t>
  </si>
  <si>
    <t>Veggies, potatoes &amp; fruit</t>
  </si>
  <si>
    <t>Bread and bakery products</t>
  </si>
  <si>
    <t>Flour, rice, noodles, cereal products (exc maize)</t>
  </si>
  <si>
    <t>Maize</t>
  </si>
  <si>
    <t>Beans and other dried pulses</t>
  </si>
  <si>
    <t>Milk, cream, yogurt, sour cream</t>
  </si>
  <si>
    <t>Ice cream, other frozen dairy</t>
  </si>
  <si>
    <t xml:space="preserve">Cheese, butter </t>
  </si>
  <si>
    <t>Eggs [assumed to be 50 g each]</t>
  </si>
  <si>
    <t>[number]</t>
  </si>
  <si>
    <t>Meat</t>
  </si>
  <si>
    <t xml:space="preserve">       Pork</t>
  </si>
  <si>
    <t xml:space="preserve">       Chicken, turkey</t>
  </si>
  <si>
    <t xml:space="preserve">       Beef</t>
  </si>
  <si>
    <t>Fish</t>
  </si>
  <si>
    <t>Sugar</t>
  </si>
  <si>
    <t>Vegetable oil (seed or olive oil)</t>
  </si>
  <si>
    <t>Margarine</t>
  </si>
  <si>
    <t>Coffee &amp; tea</t>
  </si>
  <si>
    <t>Juice &amp; wine</t>
  </si>
  <si>
    <t>Beer</t>
  </si>
  <si>
    <t>Garden [area used for food]</t>
  </si>
  <si>
    <t xml:space="preserve">Eating out  </t>
  </si>
  <si>
    <t>[$]</t>
  </si>
  <si>
    <t>SUB-TOTAL-1</t>
  </si>
  <si>
    <t>2.-HOUSING</t>
  </si>
  <si>
    <t>Residence</t>
  </si>
  <si>
    <t>House or apartment</t>
  </si>
  <si>
    <t>current age of residence</t>
  </si>
  <si>
    <t>[years]</t>
  </si>
  <si>
    <t xml:space="preserve">Construction wood </t>
  </si>
  <si>
    <t>Yard [or total lot size incl. building]</t>
  </si>
  <si>
    <t>Energy</t>
  </si>
  <si>
    <t>Electricity (also check composition--see note)</t>
  </si>
  <si>
    <t>[kWh]</t>
  </si>
  <si>
    <t xml:space="preserve">       Enter as fraction (eg 25% = 0.25)</t>
  </si>
  <si>
    <t xml:space="preserve">                fossil fuels </t>
  </si>
  <si>
    <t xml:space="preserve">                nuclear energy</t>
  </si>
  <si>
    <t xml:space="preserve">                large hydroelecric</t>
  </si>
  <si>
    <t xml:space="preserve">                small or micro hydroelectric</t>
  </si>
  <si>
    <t xml:space="preserve">                PV solar (on newly built-up area)</t>
  </si>
  <si>
    <t xml:space="preserve">                PV solar (on existing roof area)</t>
  </si>
  <si>
    <t xml:space="preserve">                wind</t>
  </si>
  <si>
    <t xml:space="preserve">                geothermal</t>
  </si>
  <si>
    <t xml:space="preserve">                wood</t>
  </si>
  <si>
    <t xml:space="preserve">                waste</t>
  </si>
  <si>
    <t>Natural gas, city</t>
  </si>
  <si>
    <t>Liquid petroleum gas (propane)</t>
  </si>
  <si>
    <t>Firewood</t>
  </si>
  <si>
    <t>Fuel oil, kerosene</t>
  </si>
  <si>
    <t>Coal</t>
  </si>
  <si>
    <t>Water (not included since it depends on local circumstances)</t>
  </si>
  <si>
    <t>SUB-TOTAL-2</t>
  </si>
  <si>
    <t>Footprint Calculator for Households</t>
  </si>
  <si>
    <t>3.- TRANSPORTATION</t>
  </si>
  <si>
    <t>Bus, transit (around town)</t>
  </si>
  <si>
    <t>Bus, intercity (Greyhound)</t>
  </si>
  <si>
    <t>Train, transit (commuter, light rail)</t>
  </si>
  <si>
    <t>Train, intercity (Amtrak)</t>
  </si>
  <si>
    <t>Car (your own)</t>
  </si>
  <si>
    <t>average fuel efficiency</t>
  </si>
  <si>
    <t>Taxi / rental/ other's car</t>
  </si>
  <si>
    <t>Motorcycle</t>
  </si>
  <si>
    <t>Airplane</t>
  </si>
  <si>
    <t>[pers.*hours]</t>
  </si>
  <si>
    <t>(e)conomy, (b)usiness or (f)irst class?</t>
  </si>
  <si>
    <t>e</t>
  </si>
  <si>
    <t>SUB-TOTAL-3</t>
  </si>
  <si>
    <t>4.-GOODS</t>
  </si>
  <si>
    <t xml:space="preserve">Clothes and textiles </t>
  </si>
  <si>
    <t xml:space="preserve">      cotton</t>
  </si>
  <si>
    <t xml:space="preserve">      wool</t>
  </si>
  <si>
    <t xml:space="preserve">      synthetic</t>
  </si>
  <si>
    <t>Furniture (wooden)</t>
  </si>
  <si>
    <t>Furniture (plastic/metal)</t>
  </si>
  <si>
    <t>Major appliances</t>
  </si>
  <si>
    <t>Computers and electronic equipment</t>
  </si>
  <si>
    <t>Small appliances</t>
  </si>
  <si>
    <t>Durable paper products (books) and hygenic paper products (toilet/tissue paper)</t>
  </si>
  <si>
    <t>Car parts for repair</t>
  </si>
  <si>
    <t>Metal items, tools</t>
  </si>
  <si>
    <t>Leather</t>
  </si>
  <si>
    <t>Plastic products and photos</t>
  </si>
  <si>
    <t>Porcelain, glass</t>
  </si>
  <si>
    <t>Medicine</t>
  </si>
  <si>
    <t>Hygiene products, cleaning stuff</t>
  </si>
  <si>
    <t>Cigarettes, other tobacco products</t>
  </si>
  <si>
    <t>SUB-TOTAL-4</t>
  </si>
  <si>
    <t xml:space="preserve">5.-SERVICES </t>
  </si>
  <si>
    <t>Postal services</t>
  </si>
  <si>
    <t xml:space="preserve">             international</t>
  </si>
  <si>
    <t xml:space="preserve">             domestic</t>
  </si>
  <si>
    <t>Hotels, Motels</t>
  </si>
  <si>
    <t>Water, sewer, garbage service</t>
  </si>
  <si>
    <t xml:space="preserve"> [$]</t>
  </si>
  <si>
    <t xml:space="preserve">Dry cleaning or external laundry service </t>
  </si>
  <si>
    <t>Telephone</t>
  </si>
  <si>
    <t>Medical insurance and services</t>
  </si>
  <si>
    <t>Household insurance</t>
  </si>
  <si>
    <t>Entertainment</t>
  </si>
  <si>
    <t>Education</t>
  </si>
  <si>
    <t>SUB-TOTAL-5</t>
  </si>
  <si>
    <t xml:space="preserve">6.- WASTE </t>
  </si>
  <si>
    <t>Household waste:</t>
  </si>
  <si>
    <t>Enter percentage recycled in your household:</t>
  </si>
  <si>
    <t xml:space="preserve">        paper and paperboard</t>
  </si>
  <si>
    <t xml:space="preserve">        aluminum</t>
  </si>
  <si>
    <t xml:space="preserve">        other metal</t>
  </si>
  <si>
    <t xml:space="preserve">        glass</t>
  </si>
  <si>
    <t xml:space="preserve">        plastic</t>
  </si>
  <si>
    <t>SUB-TOTAL-6</t>
  </si>
  <si>
    <t>Ecological Footprint Assessment: The Results</t>
  </si>
  <si>
    <t xml:space="preserve">Your footprint is </t>
  </si>
  <si>
    <t>Daily Nutrition Analysis</t>
  </si>
  <si>
    <t>[in kcal/day/person]</t>
  </si>
  <si>
    <t>TOTAL</t>
  </si>
  <si>
    <t>Protein (g)</t>
  </si>
  <si>
    <t>Calorie (kcal)</t>
  </si>
  <si>
    <t>Animal</t>
  </si>
  <si>
    <t>[gm2]</t>
  </si>
  <si>
    <t>Vegetable</t>
  </si>
  <si>
    <t>FOOD</t>
  </si>
  <si>
    <t>Total</t>
  </si>
  <si>
    <t>HOUSING</t>
  </si>
  <si>
    <t>RDA</t>
  </si>
  <si>
    <t>TRANSPORTATION</t>
  </si>
  <si>
    <t>GOODS</t>
  </si>
  <si>
    <t>SERVICES</t>
  </si>
  <si>
    <t>WASTE</t>
  </si>
  <si>
    <t>Ecological Footprint distribution</t>
  </si>
  <si>
    <t>SUPPORTING DATA</t>
  </si>
  <si>
    <t>save cells of this color as values</t>
  </si>
  <si>
    <t>Footprint Intensity</t>
  </si>
  <si>
    <t>Cropland</t>
  </si>
  <si>
    <t>Pasture</t>
  </si>
  <si>
    <t>notes</t>
  </si>
  <si>
    <t>[global m2/kg]</t>
  </si>
  <si>
    <t>weighted avg: starchy roots, vegetables, fruits</t>
  </si>
  <si>
    <t>same as "flour, rice, noodles…"</t>
  </si>
  <si>
    <t>weighted avg. cereals (exc maize)</t>
  </si>
  <si>
    <t>weighted avg. pulses</t>
  </si>
  <si>
    <t>milk</t>
  </si>
  <si>
    <t>milk*5</t>
  </si>
  <si>
    <t>milk*10</t>
  </si>
  <si>
    <t xml:space="preserve">Eggs </t>
  </si>
  <si>
    <t>eggs</t>
  </si>
  <si>
    <t>pigmeat</t>
  </si>
  <si>
    <t>poultry meat</t>
  </si>
  <si>
    <t>beef</t>
  </si>
  <si>
    <t xml:space="preserve">       Mutton, goat</t>
  </si>
  <si>
    <t>mutton &amp; goat</t>
  </si>
  <si>
    <t>weighted avg. fish, seafood</t>
  </si>
  <si>
    <t>Vegetable oil</t>
  </si>
  <si>
    <t>weighted avg. vegetables oils</t>
  </si>
  <si>
    <t>based on vegetable oil</t>
  </si>
  <si>
    <t>weighted avg. coffe and tea</t>
  </si>
  <si>
    <t>wine</t>
  </si>
  <si>
    <t>beer</t>
  </si>
  <si>
    <t>Cotton</t>
  </si>
  <si>
    <t>cotton lint</t>
  </si>
  <si>
    <t>Wool</t>
  </si>
  <si>
    <t>tobacco</t>
  </si>
  <si>
    <t>Forest</t>
  </si>
  <si>
    <t>[global m2/m3 roundwood]</t>
  </si>
  <si>
    <t>Timber</t>
  </si>
  <si>
    <t>Constants and Conversion Factors</t>
  </si>
  <si>
    <t>absorption rate [t C/ha/yr]:</t>
  </si>
  <si>
    <t>% absorbed by oceans:</t>
  </si>
  <si>
    <t>Carbon intensity [t C/GJ]:</t>
  </si>
  <si>
    <t xml:space="preserve">     coal</t>
  </si>
  <si>
    <t xml:space="preserve">     oil (avg. fossil fuel)</t>
  </si>
  <si>
    <t xml:space="preserve">     natural gas</t>
  </si>
  <si>
    <t>Carbon absorption factor [m^2/MJ]:</t>
  </si>
  <si>
    <t>Pre-purchase food loss</t>
  </si>
  <si>
    <t>Structural consumption</t>
  </si>
  <si>
    <t>Total built area of goods and waste (m2/cap)</t>
  </si>
  <si>
    <t>Total built area of services (m2/cap)</t>
  </si>
  <si>
    <t>Weight conversion (kg/lb)</t>
  </si>
  <si>
    <t>Area conversion (acres/ha)</t>
  </si>
  <si>
    <t>Area conversion (m^2/ft^2)</t>
  </si>
  <si>
    <t>Volume conversion (l/qt)</t>
  </si>
  <si>
    <t xml:space="preserve">Equivalence and Yield Factors &amp; </t>
  </si>
  <si>
    <t>Equivalence</t>
  </si>
  <si>
    <t>Yield</t>
  </si>
  <si>
    <t>Unadjusted</t>
  </si>
  <si>
    <t xml:space="preserve">    Footprint [m2]</t>
  </si>
  <si>
    <t>Factors</t>
  </si>
  <si>
    <t>Footprint</t>
  </si>
  <si>
    <t>[gm2/m2]</t>
  </si>
  <si>
    <t>[ - ]</t>
  </si>
  <si>
    <t>[m2]</t>
  </si>
  <si>
    <t>FOSSIL ENERGY</t>
  </si>
  <si>
    <t>BUILT-UP LAND</t>
  </si>
  <si>
    <t>-</t>
  </si>
  <si>
    <t>Correction Factors for the US</t>
  </si>
  <si>
    <t>U.S. average fossil fuel area of</t>
  </si>
  <si>
    <t>goods:</t>
  </si>
  <si>
    <t xml:space="preserve">services: </t>
  </si>
  <si>
    <t xml:space="preserve">waste: </t>
  </si>
  <si>
    <r>
      <t>I. Calculate how many minutes of life energy it takes to ear</t>
    </r>
    <r>
      <rPr>
        <b/>
        <sz val="12"/>
        <rFont val="Arial"/>
        <family val="2"/>
      </rPr>
      <t>n one dollar (optional).</t>
    </r>
  </si>
  <si>
    <r>
      <t>The Ecological Footprint per household member</t>
    </r>
    <r>
      <rPr>
        <sz val="10"/>
        <rFont val="Arial"/>
        <family val="0"/>
      </rPr>
      <t xml:space="preserve">  (calibrated to include indirect commercial and public expenditures)</t>
    </r>
  </si>
  <si>
    <t>III. Register your monthly consumption in column D (or your yearly consumption in column E). Optional: put the dollar amounts into column F. Goods may be entered as they are purchased to calculate a "one-time footprint", or may be divided by their lifetime (i.e. If you purchase 5 pounds of clothing, and expect the clothing to last 3 years, divide 5 lbs. by 36 months).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</si>
</sst>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00"/>
    <numFmt numFmtId="169" formatCode="0.0000"/>
    <numFmt numFmtId="170" formatCode="#,##0.000"/>
    <numFmt numFmtId="171" formatCode="0.00000000"/>
    <numFmt numFmtId="172" formatCode="0.0%"/>
    <numFmt numFmtId="173" formatCode="#,##0.0_);\(#,##0.0\)"/>
    <numFmt numFmtId="174" formatCode="0.0000000"/>
    <numFmt numFmtId="175" formatCode="#,##0.0000"/>
    <numFmt numFmtId="176" formatCode="0.0000%"/>
    <numFmt numFmtId="177" formatCode="0.000000%"/>
    <numFmt numFmtId="178" formatCode="0.0E+00"/>
    <numFmt numFmtId="179" formatCode="_(* #,##0_);_(* \(#,##0\);_(* &quot;-&quot;??_);_(@_)"/>
    <numFmt numFmtId="180" formatCode="#,##0.00000"/>
    <numFmt numFmtId="181" formatCode="#,##0.000000"/>
    <numFmt numFmtId="182" formatCode="#,##0.000000000"/>
    <numFmt numFmtId="183" formatCode="0.000E+00"/>
    <numFmt numFmtId="184" formatCode="0.000000000"/>
    <numFmt numFmtId="185" formatCode="_-* #,##0.00_-;\-* #,##0.00_-;_-* &quot;-&quot;??_-;_-@_-"/>
    <numFmt numFmtId="186" formatCode="#,##0;[Red]#,##0"/>
    <numFmt numFmtId="187" formatCode="_-* #,##0.0000_-;\-* #,##0.0000_-;_-* &quot;-&quot;??_-;_-@_-"/>
    <numFmt numFmtId="188" formatCode="_-* #,##0_-;\-* #,##0_-;_-* &quot;-&quot;??_-;_-@_-"/>
    <numFmt numFmtId="189" formatCode="0.000000000000000000"/>
    <numFmt numFmtId="190" formatCode="0.000000000000000000000"/>
    <numFmt numFmtId="191" formatCode="_(&quot;$&quot;* #,##0_);_(&quot;$&quot;* \(#,##0\);_(&quot;$&quot;* &quot;-&quot;??_);_(@_)"/>
    <numFmt numFmtId="192" formatCode="_(* #,##0.0_);_(* \(#,##0.0\);_(* &quot;-&quot;??_);_(@_)"/>
    <numFmt numFmtId="193" formatCode="0.00000E+00"/>
    <numFmt numFmtId="194" formatCode="#,##0.00000000000000"/>
    <numFmt numFmtId="195" formatCode="_(* #,##0.0000_);_(* \(#,##0.0000\);_(* &quot;-&quot;??_);_(@_)"/>
    <numFmt numFmtId="196" formatCode="_(* #,##0.000_);_(* \(#,##0.000\);_(* &quot;-&quot;??_);_(@_)"/>
    <numFmt numFmtId="197" formatCode="_(* #,##0.00000000000_);_(* \(#,##0.00000000000\);_(* &quot;-&quot;??_);_(@_)"/>
    <numFmt numFmtId="198" formatCode="0.0000000000"/>
    <numFmt numFmtId="199" formatCode="0.00000000000000000000000"/>
    <numFmt numFmtId="200" formatCode="_-* #,##0.0000\ _$_-;\-* #,##0.0000\ _$_-;_-* &quot;-&quot;??\ _$_-;_-@_-"/>
    <numFmt numFmtId="201" formatCode="0.000%"/>
    <numFmt numFmtId="202" formatCode="#,##0.0000000000000000000000"/>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20"/>
      <name val="MS Sans Serif"/>
      <family val="0"/>
    </font>
    <font>
      <u val="single"/>
      <sz val="10"/>
      <color indexed="12"/>
      <name val="MS Sans Serif"/>
      <family val="0"/>
    </font>
    <font>
      <sz val="10"/>
      <name val="Geneva"/>
      <family val="0"/>
    </font>
    <font>
      <sz val="10"/>
      <color indexed="9"/>
      <name val="Arial"/>
      <family val="2"/>
    </font>
    <font>
      <b/>
      <sz val="18"/>
      <color indexed="57"/>
      <name val="Arial"/>
      <family val="2"/>
    </font>
    <font>
      <sz val="10"/>
      <name val="Arial"/>
      <family val="0"/>
    </font>
    <font>
      <i/>
      <sz val="10"/>
      <name val="Arial"/>
      <family val="0"/>
    </font>
    <font>
      <b/>
      <sz val="12"/>
      <name val="Arial"/>
      <family val="2"/>
    </font>
    <font>
      <sz val="10"/>
      <color indexed="32"/>
      <name val="Arial"/>
      <family val="0"/>
    </font>
    <font>
      <b/>
      <i/>
      <sz val="10"/>
      <name val="Arial"/>
      <family val="0"/>
    </font>
    <font>
      <b/>
      <sz val="14"/>
      <color indexed="32"/>
      <name val="Arial"/>
      <family val="0"/>
    </font>
    <font>
      <b/>
      <sz val="10"/>
      <name val="Arial"/>
      <family val="0"/>
    </font>
    <font>
      <b/>
      <sz val="9"/>
      <name val="Arial"/>
      <family val="2"/>
    </font>
    <font>
      <b/>
      <sz val="18"/>
      <name val="Arial"/>
      <family val="0"/>
    </font>
    <font>
      <b/>
      <sz val="8"/>
      <name val="Arial"/>
      <family val="2"/>
    </font>
    <font>
      <b/>
      <sz val="10"/>
      <color indexed="32"/>
      <name val="Arial"/>
      <family val="0"/>
    </font>
    <font>
      <b/>
      <i/>
      <sz val="11"/>
      <name val="Arial"/>
      <family val="0"/>
    </font>
    <font>
      <b/>
      <i/>
      <sz val="12"/>
      <name val="Arial"/>
      <family val="2"/>
    </font>
    <font>
      <sz val="10"/>
      <color indexed="10"/>
      <name val="Arial"/>
      <family val="0"/>
    </font>
    <font>
      <i/>
      <sz val="11"/>
      <name val="Arial"/>
      <family val="2"/>
    </font>
    <font>
      <sz val="10"/>
      <color indexed="8"/>
      <name val="Arial"/>
      <family val="2"/>
    </font>
    <font>
      <sz val="10"/>
      <color indexed="47"/>
      <name val="Arial"/>
      <family val="2"/>
    </font>
    <font>
      <sz val="10"/>
      <color indexed="17"/>
      <name val="Arial"/>
      <family val="0"/>
    </font>
    <font>
      <b/>
      <sz val="10"/>
      <color indexed="10"/>
      <name val="Arial"/>
      <family val="0"/>
    </font>
    <font>
      <sz val="12"/>
      <color indexed="12"/>
      <name val="Arial"/>
      <family val="0"/>
    </font>
    <font>
      <sz val="12"/>
      <color indexed="14"/>
      <name val="Arial"/>
      <family val="0"/>
    </font>
    <font>
      <sz val="10"/>
      <color indexed="55"/>
      <name val="Arial"/>
      <family val="2"/>
    </font>
    <font>
      <b/>
      <sz val="14"/>
      <name val="Arial"/>
      <family val="0"/>
    </font>
    <font>
      <sz val="9"/>
      <name val="Arial"/>
      <family val="0"/>
    </font>
    <font>
      <b/>
      <i/>
      <sz val="10"/>
      <color indexed="32"/>
      <name val="Arial"/>
      <family val="0"/>
    </font>
    <font>
      <b/>
      <sz val="24"/>
      <name val="Arial"/>
      <family val="0"/>
    </font>
    <font>
      <b/>
      <i/>
      <sz val="18"/>
      <name val="Arial"/>
      <family val="0"/>
    </font>
    <font>
      <i/>
      <sz val="14"/>
      <name val="Arial"/>
      <family val="0"/>
    </font>
    <font>
      <sz val="12"/>
      <name val="Arial"/>
      <family val="0"/>
    </font>
    <font>
      <b/>
      <sz val="16"/>
      <color indexed="9"/>
      <name val="Arial"/>
      <family val="2"/>
    </font>
    <font>
      <sz val="16"/>
      <name val="Arial"/>
      <family val="2"/>
    </font>
    <font>
      <sz val="14"/>
      <name val="Arial"/>
      <family val="0"/>
    </font>
    <font>
      <sz val="8"/>
      <name val="Tahoma"/>
      <family val="0"/>
    </font>
    <font>
      <b/>
      <sz val="8"/>
      <name val="Tahoma"/>
      <family val="0"/>
    </font>
    <font>
      <b/>
      <sz val="10"/>
      <name val="Tahoma"/>
      <family val="0"/>
    </font>
    <font>
      <sz val="10"/>
      <name val="Tahoma"/>
      <family val="0"/>
    </font>
    <font>
      <b/>
      <sz val="8"/>
      <name val="MS Sans Serif"/>
      <family val="2"/>
    </font>
  </fonts>
  <fills count="10">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51"/>
        <bgColor indexed="64"/>
      </patternFill>
    </fill>
  </fills>
  <borders count="12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medium"/>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style="medium"/>
      <top>
        <color indexed="63"/>
      </top>
      <bottom style="thick"/>
    </border>
    <border>
      <left style="thick"/>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ck">
        <color indexed="9"/>
      </top>
      <bottom>
        <color indexed="63"/>
      </bottom>
    </border>
    <border>
      <left>
        <color indexed="63"/>
      </left>
      <right>
        <color indexed="63"/>
      </right>
      <top>
        <color indexed="63"/>
      </top>
      <bottom style="thick"/>
    </border>
    <border>
      <left style="thick"/>
      <right>
        <color indexed="63"/>
      </right>
      <top style="thin"/>
      <bottom style="thin"/>
    </border>
    <border>
      <left style="thin"/>
      <right style="medium"/>
      <top style="thin"/>
      <bottom style="thin"/>
    </border>
    <border>
      <left style="thin"/>
      <right style="thin"/>
      <top style="thin"/>
      <bottom style="thin"/>
    </border>
    <border>
      <left>
        <color indexed="63"/>
      </left>
      <right style="thick"/>
      <top style="thin"/>
      <bottom style="thin"/>
    </border>
    <border>
      <left style="thick"/>
      <right>
        <color indexed="63"/>
      </right>
      <top style="thin"/>
      <bottom>
        <color indexed="63"/>
      </bottom>
    </border>
    <border>
      <left style="thin"/>
      <right style="medium"/>
      <top style="thin"/>
      <bottom>
        <color indexed="63"/>
      </bottom>
    </border>
    <border>
      <left style="thin"/>
      <right style="thin"/>
      <top style="thin"/>
      <bottom>
        <color indexed="63"/>
      </bottom>
    </border>
    <border>
      <left>
        <color indexed="63"/>
      </left>
      <right style="thick"/>
      <top style="thin"/>
      <bottom>
        <color indexed="63"/>
      </bottom>
    </border>
    <border>
      <left>
        <color indexed="63"/>
      </left>
      <right style="hair"/>
      <top style="hair"/>
      <bottom style="hair"/>
    </border>
    <border>
      <left style="thin"/>
      <right style="medium"/>
      <top style="thin"/>
      <bottom style="medium"/>
    </border>
    <border>
      <left style="thin"/>
      <right style="thick"/>
      <top style="thin"/>
      <bottom style="medium"/>
    </border>
    <border>
      <left style="thick"/>
      <right>
        <color indexed="63"/>
      </right>
      <top style="medium"/>
      <bottom style="thin"/>
    </border>
    <border>
      <left>
        <color indexed="63"/>
      </left>
      <right>
        <color indexed="63"/>
      </right>
      <top style="medium"/>
      <bottom style="thick"/>
    </border>
    <border>
      <left style="thin"/>
      <right>
        <color indexed="63"/>
      </right>
      <top style="medium"/>
      <bottom style="thick"/>
    </border>
    <border>
      <left style="thin"/>
      <right style="medium"/>
      <top style="thin"/>
      <bottom style="thick"/>
    </border>
    <border>
      <left style="medium"/>
      <right style="thin"/>
      <top style="medium"/>
      <bottom style="thick"/>
    </border>
    <border>
      <left style="thin"/>
      <right style="thin"/>
      <top style="medium"/>
      <bottom style="thick"/>
    </border>
    <border>
      <left>
        <color indexed="63"/>
      </left>
      <right style="thick"/>
      <top>
        <color indexed="63"/>
      </top>
      <bottom style="thin"/>
    </border>
    <border>
      <left>
        <color indexed="63"/>
      </left>
      <right style="medium"/>
      <top style="thin"/>
      <bottom style="thin"/>
    </border>
    <border>
      <left style="medium"/>
      <right style="thin"/>
      <top style="thin"/>
      <bottom style="thin"/>
    </border>
    <border>
      <left style="thick"/>
      <right>
        <color indexed="63"/>
      </right>
      <top style="medium"/>
      <bottom style="thick"/>
    </border>
    <border>
      <left>
        <color indexed="63"/>
      </left>
      <right style="thin"/>
      <top style="medium"/>
      <bottom style="thick"/>
    </border>
    <border>
      <left style="thin"/>
      <right style="medium"/>
      <top style="medium"/>
      <bottom style="thick"/>
    </border>
    <border>
      <left style="medium"/>
      <right>
        <color indexed="63"/>
      </right>
      <top style="medium"/>
      <bottom style="thick"/>
    </border>
    <border>
      <left style="thin"/>
      <right style="thick"/>
      <top style="medium"/>
      <bottom style="thick"/>
    </border>
    <border>
      <left style="thick"/>
      <right>
        <color indexed="63"/>
      </right>
      <top style="thin"/>
      <bottom style="thick"/>
    </border>
    <border>
      <left style="thin"/>
      <right style="thin"/>
      <top style="thin"/>
      <bottom style="thick"/>
    </border>
    <border>
      <left>
        <color indexed="63"/>
      </left>
      <right style="thick"/>
      <top style="thin"/>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ck"/>
      <right>
        <color indexed="63"/>
      </right>
      <top>
        <color indexed="63"/>
      </top>
      <bottom style="thin"/>
    </border>
    <border>
      <left style="thin"/>
      <right style="thick"/>
      <top style="thin"/>
      <bottom style="thin"/>
    </border>
    <border>
      <left style="thin"/>
      <right>
        <color indexed="63"/>
      </right>
      <top style="thin"/>
      <bottom style="medium"/>
    </border>
    <border>
      <left>
        <color indexed="63"/>
      </left>
      <right style="thin"/>
      <top style="thin"/>
      <bottom style="medium"/>
    </border>
    <border>
      <left>
        <color indexed="63"/>
      </left>
      <right style="thick"/>
      <top style="thin"/>
      <bottom style="medium"/>
    </border>
    <border>
      <left style="thin"/>
      <right>
        <color indexed="63"/>
      </right>
      <top style="thin"/>
      <bottom style="thick"/>
    </border>
    <border>
      <left style="medium"/>
      <right style="thin"/>
      <top style="thin"/>
      <bottom>
        <color indexed="63"/>
      </bottom>
    </border>
    <border>
      <left style="medium"/>
      <right style="thin"/>
      <top style="thin"/>
      <bottom style="medium"/>
    </border>
    <border>
      <left style="thin"/>
      <right>
        <color indexed="63"/>
      </right>
      <top>
        <color indexed="63"/>
      </top>
      <bottom style="thick"/>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color indexed="63"/>
      </top>
      <bottom style="thick"/>
    </border>
    <border>
      <left style="thick"/>
      <right>
        <color indexed="63"/>
      </right>
      <top style="medium"/>
      <bottom>
        <color indexed="63"/>
      </bottom>
    </border>
    <border>
      <left style="medium"/>
      <right style="medium"/>
      <top style="medium"/>
      <bottom>
        <color indexed="63"/>
      </bottom>
    </border>
    <border>
      <left style="thick"/>
      <right style="thick"/>
      <top>
        <color indexed="63"/>
      </top>
      <bottom>
        <color indexed="63"/>
      </bottom>
    </border>
    <border>
      <left style="thick"/>
      <right style="medium"/>
      <top style="thick"/>
      <bottom style="medium"/>
    </border>
    <border>
      <left style="thin"/>
      <right>
        <color indexed="63"/>
      </right>
      <top style="thick"/>
      <bottom style="medium"/>
    </border>
    <border>
      <left style="thin"/>
      <right style="thick"/>
      <top style="thick"/>
      <bottom style="medium"/>
    </border>
    <border>
      <left style="medium"/>
      <right style="medium"/>
      <top>
        <color indexed="63"/>
      </top>
      <bottom>
        <color indexed="63"/>
      </bottom>
    </border>
    <border>
      <left style="thick"/>
      <right style="medium"/>
      <top>
        <color indexed="63"/>
      </top>
      <bottom>
        <color indexed="63"/>
      </bottom>
    </border>
    <border>
      <left style="thin"/>
      <right style="thick"/>
      <top>
        <color indexed="63"/>
      </top>
      <bottom>
        <color indexed="63"/>
      </bottom>
    </border>
    <border>
      <left style="thick"/>
      <right style="medium"/>
      <top style="thin"/>
      <bottom style="thin"/>
    </border>
    <border>
      <left style="thin"/>
      <right style="thin"/>
      <top style="medium"/>
      <bottom style="thin"/>
    </border>
    <border>
      <left style="thin"/>
      <right>
        <color indexed="63"/>
      </right>
      <top style="medium"/>
      <bottom style="thin"/>
    </border>
    <border>
      <left style="medium"/>
      <right style="thick"/>
      <top style="medium"/>
      <bottom>
        <color indexed="63"/>
      </bottom>
    </border>
    <border>
      <left style="medium"/>
      <right style="thick"/>
      <top style="thin"/>
      <bottom style="thin"/>
    </border>
    <border>
      <left style="thick"/>
      <right style="medium"/>
      <top style="double"/>
      <bottom style="thick"/>
    </border>
    <border>
      <left style="thin"/>
      <right>
        <color indexed="63"/>
      </right>
      <top style="double"/>
      <bottom style="thick"/>
    </border>
    <border>
      <left style="thin"/>
      <right style="thick"/>
      <top style="double"/>
      <bottom style="thick"/>
    </border>
    <border>
      <left style="thick"/>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thick"/>
      <top style="thin"/>
      <bottom style="medium"/>
    </border>
    <border>
      <left style="medium"/>
      <right style="thick"/>
      <top style="medium"/>
      <bottom style="thick"/>
    </border>
    <border>
      <left style="medium"/>
      <right style="medium"/>
      <top>
        <color indexed="63"/>
      </top>
      <bottom style="medium"/>
    </border>
    <border>
      <left style="medium"/>
      <right style="thick"/>
      <top>
        <color indexed="63"/>
      </top>
      <bottom style="medium"/>
    </border>
    <border>
      <left style="thin"/>
      <right style="thin"/>
      <top>
        <color indexed="63"/>
      </top>
      <bottom style="thin"/>
    </border>
    <border>
      <left style="thick"/>
      <right>
        <color indexed="63"/>
      </right>
      <top style="thin"/>
      <bottom style="medium"/>
    </border>
    <border>
      <left>
        <color indexed="63"/>
      </left>
      <right>
        <color indexed="63"/>
      </right>
      <top style="thin"/>
      <bottom style="medium"/>
    </border>
    <border>
      <left style="medium"/>
      <right style="thick"/>
      <top>
        <color indexed="63"/>
      </top>
      <bottom style="thick"/>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ck"/>
      <bottom>
        <color indexed="63"/>
      </bottom>
    </border>
    <border>
      <left>
        <color indexed="63"/>
      </left>
      <right style="thin"/>
      <top style="thick"/>
      <bottom>
        <color indexed="63"/>
      </bottom>
    </border>
    <border>
      <left style="thin"/>
      <right style="thick"/>
      <top style="thick"/>
      <bottom>
        <color indexed="63"/>
      </bottom>
    </border>
    <border>
      <left>
        <color indexed="63"/>
      </left>
      <right style="thick"/>
      <top style="medium"/>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608">
    <xf numFmtId="0" fontId="0" fillId="0" borderId="0" xfId="0" applyAlignment="1">
      <alignment/>
    </xf>
    <xf numFmtId="0" fontId="7" fillId="2" borderId="0" xfId="0" applyFont="1" applyFill="1" applyAlignment="1">
      <alignment/>
    </xf>
    <xf numFmtId="0" fontId="8" fillId="2" borderId="0" xfId="0" applyFont="1" applyFill="1" applyBorder="1" applyAlignment="1">
      <alignment/>
    </xf>
    <xf numFmtId="0" fontId="9" fillId="2" borderId="0" xfId="0" applyFont="1" applyFill="1" applyAlignment="1">
      <alignment horizontal="center"/>
    </xf>
    <xf numFmtId="0" fontId="9" fillId="2" borderId="0" xfId="0" applyFont="1" applyFill="1" applyAlignment="1">
      <alignment/>
    </xf>
    <xf numFmtId="0" fontId="10" fillId="2" borderId="0" xfId="0" applyFont="1" applyFill="1" applyAlignment="1">
      <alignment/>
    </xf>
    <xf numFmtId="0" fontId="11" fillId="2" borderId="1" xfId="0" applyFont="1" applyFill="1" applyBorder="1" applyAlignment="1">
      <alignment/>
    </xf>
    <xf numFmtId="0" fontId="11" fillId="2" borderId="2" xfId="0" applyFont="1" applyFill="1" applyBorder="1" applyAlignment="1">
      <alignment horizontal="center"/>
    </xf>
    <xf numFmtId="0" fontId="9" fillId="2" borderId="2" xfId="0" applyFont="1" applyFill="1" applyBorder="1" applyAlignment="1">
      <alignment/>
    </xf>
    <xf numFmtId="0" fontId="0" fillId="2" borderId="2" xfId="0" applyFill="1" applyBorder="1" applyAlignment="1">
      <alignment/>
    </xf>
    <xf numFmtId="0" fontId="9" fillId="2" borderId="3" xfId="0" applyFont="1" applyFill="1" applyBorder="1" applyAlignment="1">
      <alignment/>
    </xf>
    <xf numFmtId="0" fontId="11" fillId="2" borderId="4" xfId="0" applyFont="1" applyFill="1" applyBorder="1" applyAlignment="1">
      <alignment/>
    </xf>
    <xf numFmtId="0" fontId="11" fillId="2" borderId="0" xfId="0" applyFont="1" applyFill="1" applyBorder="1" applyAlignment="1">
      <alignment horizontal="center"/>
    </xf>
    <xf numFmtId="3" fontId="12" fillId="3" borderId="5" xfId="0" applyNumberFormat="1" applyFont="1" applyFill="1" applyBorder="1" applyAlignment="1">
      <alignment horizontal="right"/>
    </xf>
    <xf numFmtId="0" fontId="9" fillId="2" borderId="5" xfId="0" applyFont="1" applyFill="1" applyBorder="1" applyAlignment="1">
      <alignment/>
    </xf>
    <xf numFmtId="0" fontId="9" fillId="0" borderId="6" xfId="0" applyFont="1" applyBorder="1" applyAlignment="1">
      <alignment/>
    </xf>
    <xf numFmtId="0" fontId="9" fillId="2" borderId="6" xfId="0" applyFont="1" applyFill="1" applyBorder="1" applyAlignment="1">
      <alignment/>
    </xf>
    <xf numFmtId="0" fontId="9" fillId="2" borderId="7" xfId="0" applyFont="1" applyFill="1" applyBorder="1" applyAlignment="1">
      <alignment/>
    </xf>
    <xf numFmtId="0" fontId="9" fillId="0" borderId="0" xfId="0" applyFont="1" applyAlignment="1">
      <alignment/>
    </xf>
    <xf numFmtId="0" fontId="0" fillId="2" borderId="0" xfId="0" applyFill="1" applyBorder="1" applyAlignment="1">
      <alignment/>
    </xf>
    <xf numFmtId="0" fontId="9" fillId="2" borderId="8" xfId="0" applyFont="1" applyFill="1" applyBorder="1" applyAlignment="1">
      <alignment/>
    </xf>
    <xf numFmtId="0" fontId="9" fillId="2" borderId="4" xfId="0" applyFont="1" applyFill="1" applyBorder="1" applyAlignment="1">
      <alignment/>
    </xf>
    <xf numFmtId="3" fontId="12" fillId="3" borderId="9" xfId="0" applyNumberFormat="1" applyFont="1" applyFill="1" applyBorder="1" applyAlignment="1">
      <alignment horizontal="right"/>
    </xf>
    <xf numFmtId="0" fontId="9" fillId="2" borderId="9" xfId="0" applyFont="1" applyFill="1" applyBorder="1" applyAlignment="1">
      <alignment/>
    </xf>
    <xf numFmtId="0" fontId="9" fillId="2" borderId="0" xfId="0" applyFont="1" applyFill="1" applyBorder="1" applyAlignment="1">
      <alignment/>
    </xf>
    <xf numFmtId="0" fontId="9" fillId="2" borderId="10" xfId="0" applyFont="1" applyFill="1" applyBorder="1" applyAlignment="1">
      <alignment/>
    </xf>
    <xf numFmtId="0" fontId="0" fillId="2" borderId="0" xfId="0" applyFill="1" applyAlignment="1">
      <alignment/>
    </xf>
    <xf numFmtId="164" fontId="12" fillId="3" borderId="9" xfId="0" applyNumberFormat="1" applyFont="1" applyFill="1" applyBorder="1" applyAlignment="1">
      <alignment/>
    </xf>
    <xf numFmtId="3" fontId="9" fillId="2" borderId="4" xfId="0" applyNumberFormat="1" applyFont="1" applyFill="1" applyBorder="1" applyAlignment="1">
      <alignment/>
    </xf>
    <xf numFmtId="0" fontId="9" fillId="2" borderId="11" xfId="0" applyFont="1" applyFill="1" applyBorder="1" applyAlignment="1">
      <alignment/>
    </xf>
    <xf numFmtId="0" fontId="9" fillId="0" borderId="12" xfId="0" applyFont="1" applyBorder="1" applyAlignment="1">
      <alignment/>
    </xf>
    <xf numFmtId="0" fontId="9" fillId="2" borderId="12" xfId="0" applyFont="1" applyFill="1" applyBorder="1" applyAlignment="1">
      <alignment/>
    </xf>
    <xf numFmtId="0" fontId="10" fillId="2" borderId="13" xfId="0" applyFont="1" applyFill="1" applyBorder="1" applyAlignment="1">
      <alignment/>
    </xf>
    <xf numFmtId="0" fontId="10" fillId="2" borderId="0" xfId="0" applyFont="1" applyFill="1" applyBorder="1" applyAlignment="1">
      <alignment/>
    </xf>
    <xf numFmtId="0" fontId="13" fillId="2" borderId="14" xfId="0" applyFont="1" applyFill="1" applyBorder="1" applyAlignment="1">
      <alignment horizontal="right"/>
    </xf>
    <xf numFmtId="3" fontId="10" fillId="2" borderId="15" xfId="0" applyNumberFormat="1" applyFont="1" applyFill="1" applyBorder="1" applyAlignment="1">
      <alignment horizontal="center"/>
    </xf>
    <xf numFmtId="2" fontId="13" fillId="2" borderId="15" xfId="0" applyNumberFormat="1" applyFont="1" applyFill="1" applyBorder="1" applyAlignment="1">
      <alignment/>
    </xf>
    <xf numFmtId="0" fontId="9" fillId="2" borderId="15" xfId="0" applyFont="1" applyFill="1" applyBorder="1" applyAlignment="1">
      <alignment/>
    </xf>
    <xf numFmtId="0" fontId="9" fillId="2" borderId="16" xfId="0" applyFont="1" applyFill="1" applyBorder="1" applyAlignment="1">
      <alignment/>
    </xf>
    <xf numFmtId="0" fontId="13" fillId="2" borderId="0" xfId="0" applyFont="1" applyFill="1" applyBorder="1" applyAlignment="1">
      <alignment horizontal="right"/>
    </xf>
    <xf numFmtId="3" fontId="10" fillId="2" borderId="0" xfId="0" applyNumberFormat="1" applyFont="1" applyFill="1" applyBorder="1" applyAlignment="1">
      <alignment horizontal="center"/>
    </xf>
    <xf numFmtId="2" fontId="13" fillId="2" borderId="0" xfId="0" applyNumberFormat="1" applyFont="1" applyFill="1" applyBorder="1" applyAlignment="1">
      <alignment/>
    </xf>
    <xf numFmtId="3" fontId="11" fillId="2" borderId="4" xfId="0" applyNumberFormat="1" applyFont="1" applyFill="1" applyBorder="1" applyAlignment="1">
      <alignment/>
    </xf>
    <xf numFmtId="3" fontId="9" fillId="0" borderId="0" xfId="0" applyNumberFormat="1"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3" fontId="13" fillId="2" borderId="0" xfId="0" applyNumberFormat="1" applyFont="1" applyFill="1" applyBorder="1" applyAlignment="1">
      <alignment/>
    </xf>
    <xf numFmtId="3" fontId="9" fillId="2" borderId="0" xfId="0" applyNumberFormat="1" applyFont="1" applyFill="1" applyBorder="1" applyAlignment="1">
      <alignment horizontal="center"/>
    </xf>
    <xf numFmtId="0" fontId="14" fillId="3" borderId="14" xfId="0" applyFont="1" applyFill="1" applyBorder="1" applyAlignment="1">
      <alignment horizontal="center"/>
    </xf>
    <xf numFmtId="0" fontId="15" fillId="2" borderId="14" xfId="0" applyFont="1" applyFill="1" applyBorder="1" applyAlignment="1">
      <alignment/>
    </xf>
    <xf numFmtId="3" fontId="13" fillId="2" borderId="15" xfId="0" applyNumberFormat="1" applyFont="1" applyFill="1" applyBorder="1" applyAlignment="1">
      <alignment/>
    </xf>
    <xf numFmtId="0" fontId="14" fillId="2" borderId="15" xfId="0" applyFont="1" applyFill="1" applyBorder="1" applyAlignment="1">
      <alignment horizontal="center"/>
    </xf>
    <xf numFmtId="0" fontId="15" fillId="2" borderId="16" xfId="0" applyFont="1" applyFill="1" applyBorder="1" applyAlignment="1">
      <alignment/>
    </xf>
    <xf numFmtId="0" fontId="9" fillId="2" borderId="0" xfId="0" applyFont="1" applyFill="1" applyBorder="1" applyAlignment="1">
      <alignment horizontal="center"/>
    </xf>
    <xf numFmtId="0" fontId="16"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0" fontId="15" fillId="2" borderId="0" xfId="0" applyFont="1" applyFill="1" applyBorder="1" applyAlignment="1">
      <alignment/>
    </xf>
    <xf numFmtId="0" fontId="15" fillId="2" borderId="8" xfId="0" applyFont="1" applyFill="1" applyBorder="1" applyAlignment="1">
      <alignment/>
    </xf>
    <xf numFmtId="0" fontId="11" fillId="2" borderId="17" xfId="0" applyFont="1" applyFill="1" applyBorder="1" applyAlignment="1">
      <alignment/>
    </xf>
    <xf numFmtId="0" fontId="9" fillId="0" borderId="18" xfId="0" applyFont="1" applyBorder="1" applyAlignment="1">
      <alignment horizontal="center"/>
    </xf>
    <xf numFmtId="0" fontId="19" fillId="3" borderId="19" xfId="0" applyFont="1" applyFill="1" applyBorder="1" applyAlignment="1">
      <alignment horizontal="center"/>
    </xf>
    <xf numFmtId="0" fontId="17" fillId="2" borderId="18" xfId="0" applyFont="1" applyFill="1" applyBorder="1" applyAlignment="1">
      <alignment/>
    </xf>
    <xf numFmtId="0" fontId="0" fillId="2" borderId="18" xfId="0" applyFill="1" applyBorder="1" applyAlignment="1">
      <alignment/>
    </xf>
    <xf numFmtId="0" fontId="9" fillId="2" borderId="18" xfId="0" applyFont="1" applyFill="1" applyBorder="1" applyAlignment="1">
      <alignment/>
    </xf>
    <xf numFmtId="0" fontId="9" fillId="2" borderId="20" xfId="0" applyFont="1" applyFill="1" applyBorder="1" applyAlignment="1">
      <alignment/>
    </xf>
    <xf numFmtId="0" fontId="20" fillId="2" borderId="0" xfId="0" applyFont="1" applyFill="1" applyBorder="1" applyAlignment="1">
      <alignment/>
    </xf>
    <xf numFmtId="0" fontId="21" fillId="2" borderId="0" xfId="0" applyFont="1" applyFill="1" applyBorder="1" applyAlignment="1">
      <alignment horizontal="right"/>
    </xf>
    <xf numFmtId="0" fontId="21" fillId="2" borderId="0" xfId="0" applyFont="1" applyFill="1" applyBorder="1" applyAlignment="1">
      <alignment horizontal="right"/>
    </xf>
    <xf numFmtId="0" fontId="22" fillId="2" borderId="0" xfId="0" applyFont="1" applyFill="1" applyBorder="1" applyAlignment="1">
      <alignment horizontal="center"/>
    </xf>
    <xf numFmtId="0" fontId="15" fillId="0" borderId="21" xfId="0" applyFont="1" applyFill="1" applyBorder="1" applyAlignment="1">
      <alignment/>
    </xf>
    <xf numFmtId="0" fontId="15" fillId="0" borderId="22" xfId="0" applyFont="1" applyBorder="1" applyAlignment="1">
      <alignment horizontal="center"/>
    </xf>
    <xf numFmtId="0" fontId="15" fillId="0" borderId="21"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1" xfId="0" applyFont="1" applyFill="1" applyBorder="1" applyAlignment="1">
      <alignment horizontal="left" wrapText="1"/>
    </xf>
    <xf numFmtId="0" fontId="15" fillId="0" borderId="21" xfId="0" applyFont="1" applyFill="1" applyBorder="1" applyAlignment="1">
      <alignment horizontal="left"/>
    </xf>
    <xf numFmtId="0" fontId="15" fillId="0" borderId="21" xfId="0" applyFont="1" applyBorder="1" applyAlignment="1">
      <alignment horizontal="left"/>
    </xf>
    <xf numFmtId="0" fontId="15" fillId="0" borderId="23" xfId="0" applyFont="1" applyBorder="1" applyAlignment="1">
      <alignment horizontal="left"/>
    </xf>
    <xf numFmtId="0" fontId="15" fillId="0" borderId="22" xfId="0" applyFont="1" applyBorder="1" applyAlignment="1">
      <alignment horizontal="left"/>
    </xf>
    <xf numFmtId="0" fontId="10" fillId="0" borderId="21" xfId="0" applyFont="1" applyFill="1" applyBorder="1" applyAlignment="1">
      <alignment horizontal="center"/>
    </xf>
    <xf numFmtId="0" fontId="9" fillId="0" borderId="25" xfId="0" applyFont="1" applyFill="1" applyBorder="1" applyAlignment="1">
      <alignment/>
    </xf>
    <xf numFmtId="0" fontId="9" fillId="0" borderId="22" xfId="0" applyFont="1" applyFill="1" applyBorder="1" applyAlignment="1">
      <alignment/>
    </xf>
    <xf numFmtId="0" fontId="9" fillId="0" borderId="26" xfId="0" applyFont="1" applyFill="1" applyBorder="1" applyAlignment="1">
      <alignment/>
    </xf>
    <xf numFmtId="0" fontId="15" fillId="0" borderId="27" xfId="0" applyFont="1" applyBorder="1" applyAlignment="1">
      <alignment horizontal="center"/>
    </xf>
    <xf numFmtId="0" fontId="15" fillId="0" borderId="26" xfId="0" applyFont="1" applyBorder="1" applyAlignment="1">
      <alignment horizontal="center"/>
    </xf>
    <xf numFmtId="0" fontId="15" fillId="0" borderId="28" xfId="0" applyFont="1" applyBorder="1" applyAlignment="1">
      <alignment horizontal="center"/>
    </xf>
    <xf numFmtId="0" fontId="15" fillId="0" borderId="26" xfId="0" applyFont="1" applyBorder="1" applyAlignment="1">
      <alignment horizontal="left"/>
    </xf>
    <xf numFmtId="0" fontId="15" fillId="0" borderId="26" xfId="0" applyFont="1" applyBorder="1" applyAlignment="1">
      <alignment horizontal="left"/>
    </xf>
    <xf numFmtId="0" fontId="15" fillId="0" borderId="29" xfId="0" applyFont="1" applyBorder="1" applyAlignment="1">
      <alignment horizontal="left"/>
    </xf>
    <xf numFmtId="0" fontId="15" fillId="0" borderId="27" xfId="0" applyFont="1" applyBorder="1" applyAlignment="1">
      <alignment horizontal="left"/>
    </xf>
    <xf numFmtId="0" fontId="9" fillId="0" borderId="30" xfId="0" applyFont="1" applyFill="1" applyBorder="1" applyAlignment="1">
      <alignment/>
    </xf>
    <xf numFmtId="0" fontId="23" fillId="0" borderId="0" xfId="0" applyFont="1" applyFill="1" applyBorder="1" applyAlignment="1" quotePrefix="1">
      <alignment horizontal="center"/>
    </xf>
    <xf numFmtId="167" fontId="9" fillId="0" borderId="0" xfId="0" applyNumberFormat="1" applyFont="1" applyFill="1" applyBorder="1" applyAlignment="1">
      <alignment/>
    </xf>
    <xf numFmtId="0" fontId="9" fillId="0" borderId="31" xfId="0" applyFont="1" applyFill="1" applyBorder="1" applyAlignment="1">
      <alignment/>
    </xf>
    <xf numFmtId="0" fontId="15" fillId="0" borderId="21" xfId="0" applyFont="1" applyBorder="1" applyAlignment="1">
      <alignment/>
    </xf>
    <xf numFmtId="0" fontId="15" fillId="0" borderId="0" xfId="0" applyFont="1" applyBorder="1" applyAlignment="1">
      <alignment horizontal="center"/>
    </xf>
    <xf numFmtId="0" fontId="9" fillId="0" borderId="0" xfId="0" applyFont="1" applyFill="1" applyBorder="1" applyAlignment="1">
      <alignment/>
    </xf>
    <xf numFmtId="0" fontId="15" fillId="0" borderId="25" xfId="0" applyFont="1" applyBorder="1" applyAlignment="1">
      <alignment horizontal="left"/>
    </xf>
    <xf numFmtId="0" fontId="0" fillId="0" borderId="25" xfId="0" applyBorder="1" applyAlignment="1">
      <alignment horizontal="left"/>
    </xf>
    <xf numFmtId="0" fontId="0" fillId="0" borderId="22" xfId="0" applyBorder="1" applyAlignment="1">
      <alignment horizontal="left"/>
    </xf>
    <xf numFmtId="167" fontId="23" fillId="0" borderId="0" xfId="0" applyNumberFormat="1" applyFont="1" applyFill="1" applyBorder="1" applyAlignment="1" quotePrefix="1">
      <alignment horizontal="center"/>
    </xf>
    <xf numFmtId="0" fontId="15" fillId="0" borderId="30" xfId="0" applyFont="1" applyBorder="1" applyAlignment="1">
      <alignment/>
    </xf>
    <xf numFmtId="0" fontId="9" fillId="0" borderId="0" xfId="0" applyFont="1" applyBorder="1" applyAlignment="1">
      <alignment horizontal="center"/>
    </xf>
    <xf numFmtId="0" fontId="9" fillId="0" borderId="31" xfId="0" applyFont="1" applyBorder="1" applyAlignment="1">
      <alignment/>
    </xf>
    <xf numFmtId="0" fontId="10" fillId="0" borderId="30" xfId="0" applyFont="1" applyFill="1" applyBorder="1" applyAlignment="1">
      <alignment horizontal="center"/>
    </xf>
    <xf numFmtId="0" fontId="10" fillId="0" borderId="30" xfId="0" applyFont="1" applyBorder="1" applyAlignment="1">
      <alignment horizontal="left"/>
    </xf>
    <xf numFmtId="9" fontId="12" fillId="3" borderId="0" xfId="0" applyNumberFormat="1" applyFont="1" applyFill="1" applyBorder="1" applyAlignment="1">
      <alignment horizontal="center"/>
    </xf>
    <xf numFmtId="0" fontId="9" fillId="0" borderId="0" xfId="0" applyFont="1" applyFill="1" applyAlignment="1">
      <alignment/>
    </xf>
    <xf numFmtId="0" fontId="10" fillId="0" borderId="30" xfId="0" applyFont="1" applyBorder="1" applyAlignment="1">
      <alignment/>
    </xf>
    <xf numFmtId="0" fontId="10" fillId="0" borderId="0" xfId="0" applyFont="1" applyBorder="1" applyAlignment="1">
      <alignment horizontal="left"/>
    </xf>
    <xf numFmtId="9" fontId="12" fillId="3" borderId="32" xfId="0" applyNumberFormat="1" applyFont="1" applyFill="1" applyBorder="1" applyAlignment="1">
      <alignment horizontal="center"/>
    </xf>
    <xf numFmtId="0" fontId="24" fillId="0" borderId="0" xfId="0" applyFont="1" applyFill="1" applyBorder="1" applyAlignment="1">
      <alignment horizontal="center"/>
    </xf>
    <xf numFmtId="0" fontId="9" fillId="0" borderId="0" xfId="0" applyFont="1" applyFill="1" applyBorder="1" applyAlignment="1">
      <alignment/>
    </xf>
    <xf numFmtId="0" fontId="10" fillId="0" borderId="30" xfId="0" applyFont="1" applyFill="1" applyBorder="1" applyAlignment="1">
      <alignment horizontal="center"/>
    </xf>
    <xf numFmtId="9" fontId="25" fillId="0" borderId="0" xfId="23" applyFont="1" applyFill="1" applyBorder="1" applyAlignment="1">
      <alignment horizontal="center"/>
    </xf>
    <xf numFmtId="0" fontId="10" fillId="0" borderId="26" xfId="0" applyFont="1" applyFill="1" applyBorder="1" applyAlignment="1">
      <alignment horizontal="center"/>
    </xf>
    <xf numFmtId="0" fontId="9" fillId="0" borderId="33" xfId="0" applyFont="1" applyFill="1" applyBorder="1" applyAlignment="1">
      <alignment/>
    </xf>
    <xf numFmtId="0" fontId="9" fillId="0" borderId="27" xfId="0" applyFont="1" applyFill="1" applyBorder="1" applyAlignment="1">
      <alignment/>
    </xf>
    <xf numFmtId="0" fontId="9" fillId="0" borderId="30" xfId="0" applyFont="1" applyBorder="1" applyAlignment="1">
      <alignment horizontal="center"/>
    </xf>
    <xf numFmtId="0" fontId="9" fillId="0" borderId="0" xfId="0" applyFont="1" applyFill="1" applyBorder="1" applyAlignment="1">
      <alignment horizontal="center"/>
    </xf>
    <xf numFmtId="0" fontId="9" fillId="0" borderId="31" xfId="0" applyFont="1" applyFill="1" applyBorder="1" applyAlignment="1">
      <alignment horizontal="center"/>
    </xf>
    <xf numFmtId="0" fontId="9" fillId="0" borderId="30" xfId="0" applyFont="1" applyFill="1" applyBorder="1" applyAlignment="1">
      <alignment horizontal="center" vertical="center"/>
    </xf>
    <xf numFmtId="0" fontId="9" fillId="0" borderId="30" xfId="0" applyFont="1" applyFill="1" applyBorder="1" applyAlignment="1">
      <alignment horizontal="center"/>
    </xf>
    <xf numFmtId="2" fontId="9" fillId="0" borderId="30" xfId="0" applyNumberFormat="1" applyFont="1" applyBorder="1" applyAlignment="1">
      <alignment horizontal="center"/>
    </xf>
    <xf numFmtId="0" fontId="9" fillId="0" borderId="34" xfId="0" applyFont="1" applyBorder="1" applyAlignment="1">
      <alignment/>
    </xf>
    <xf numFmtId="0" fontId="9" fillId="0" borderId="15" xfId="0" applyFont="1" applyBorder="1" applyAlignment="1">
      <alignment horizontal="center"/>
    </xf>
    <xf numFmtId="165" fontId="12" fillId="3" borderId="14" xfId="0" applyNumberFormat="1" applyFont="1" applyFill="1" applyBorder="1" applyAlignment="1">
      <alignment/>
    </xf>
    <xf numFmtId="1" fontId="9" fillId="0" borderId="14" xfId="0" applyNumberFormat="1" applyFont="1" applyBorder="1" applyAlignment="1">
      <alignment/>
    </xf>
    <xf numFmtId="8" fontId="26" fillId="0" borderId="35" xfId="17" applyFont="1" applyBorder="1" applyAlignment="1">
      <alignment/>
    </xf>
    <xf numFmtId="3" fontId="9" fillId="4" borderId="14" xfId="0" applyNumberFormat="1" applyFont="1" applyFill="1" applyBorder="1" applyAlignment="1">
      <alignment/>
    </xf>
    <xf numFmtId="3" fontId="15" fillId="0" borderId="14" xfId="0" applyNumberFormat="1" applyFont="1" applyBorder="1" applyAlignment="1">
      <alignment/>
    </xf>
    <xf numFmtId="3" fontId="15" fillId="0" borderId="36" xfId="0" applyNumberFormat="1" applyFont="1" applyBorder="1" applyAlignment="1">
      <alignment/>
    </xf>
    <xf numFmtId="3" fontId="9" fillId="0" borderId="37" xfId="0" applyNumberFormat="1" applyFont="1" applyBorder="1" applyAlignment="1">
      <alignment/>
    </xf>
    <xf numFmtId="164" fontId="9" fillId="0" borderId="34" xfId="0" applyNumberFormat="1" applyFont="1" applyBorder="1" applyAlignment="1">
      <alignment horizontal="center"/>
    </xf>
    <xf numFmtId="0" fontId="9" fillId="0" borderId="36" xfId="0" applyFont="1" applyBorder="1" applyAlignment="1">
      <alignment/>
    </xf>
    <xf numFmtId="0" fontId="9" fillId="0" borderId="37" xfId="0" applyFont="1" applyBorder="1" applyAlignment="1">
      <alignment/>
    </xf>
    <xf numFmtId="0" fontId="6" fillId="0" borderId="34" xfId="22" applyFont="1" applyFill="1" applyBorder="1">
      <alignment/>
      <protection/>
    </xf>
    <xf numFmtId="0" fontId="9" fillId="0" borderId="16" xfId="0" applyFont="1" applyBorder="1" applyAlignment="1">
      <alignment horizontal="center"/>
    </xf>
    <xf numFmtId="3" fontId="12" fillId="3" borderId="14" xfId="0" applyNumberFormat="1" applyFont="1" applyFill="1" applyBorder="1" applyAlignment="1">
      <alignment/>
    </xf>
    <xf numFmtId="0" fontId="10" fillId="0" borderId="38" xfId="0" applyFont="1" applyBorder="1" applyAlignment="1">
      <alignment/>
    </xf>
    <xf numFmtId="165" fontId="22" fillId="0" borderId="14" xfId="0" applyNumberFormat="1" applyFont="1" applyBorder="1" applyAlignment="1">
      <alignment/>
    </xf>
    <xf numFmtId="3" fontId="26" fillId="0" borderId="39" xfId="0" applyNumberFormat="1" applyFont="1" applyBorder="1" applyAlignment="1">
      <alignment/>
    </xf>
    <xf numFmtId="3" fontId="15" fillId="0" borderId="5" xfId="0" applyNumberFormat="1" applyFont="1" applyBorder="1" applyAlignment="1">
      <alignment/>
    </xf>
    <xf numFmtId="3" fontId="15" fillId="0" borderId="40" xfId="0" applyNumberFormat="1" applyFont="1" applyBorder="1" applyAlignment="1">
      <alignment/>
    </xf>
    <xf numFmtId="3" fontId="9" fillId="0" borderId="41" xfId="0" applyNumberFormat="1" applyFont="1" applyBorder="1" applyAlignment="1">
      <alignment/>
    </xf>
    <xf numFmtId="3" fontId="9" fillId="4" borderId="37" xfId="0" applyNumberFormat="1" applyFont="1" applyFill="1" applyBorder="1" applyAlignment="1">
      <alignment/>
    </xf>
    <xf numFmtId="0" fontId="9" fillId="0" borderId="38" xfId="0" applyFont="1" applyBorder="1" applyAlignment="1">
      <alignment/>
    </xf>
    <xf numFmtId="0" fontId="9" fillId="0" borderId="15" xfId="0" applyFont="1" applyBorder="1" applyAlignment="1">
      <alignment horizontal="center"/>
    </xf>
    <xf numFmtId="3" fontId="9" fillId="0" borderId="14" xfId="0" applyNumberFormat="1" applyFont="1" applyBorder="1" applyAlignment="1">
      <alignment/>
    </xf>
    <xf numFmtId="1" fontId="9" fillId="0" borderId="14" xfId="0" applyNumberFormat="1" applyFont="1" applyFill="1" applyBorder="1" applyAlignment="1">
      <alignment/>
    </xf>
    <xf numFmtId="0" fontId="6" fillId="0" borderId="42" xfId="22" applyFont="1" applyFill="1" applyBorder="1" applyAlignment="1">
      <alignment horizontal="center"/>
      <protection/>
    </xf>
    <xf numFmtId="3" fontId="9" fillId="0" borderId="5" xfId="0" applyNumberFormat="1" applyFont="1" applyBorder="1" applyAlignment="1">
      <alignment/>
    </xf>
    <xf numFmtId="0" fontId="9" fillId="0" borderId="34" xfId="0" applyFont="1" applyFill="1" applyBorder="1" applyAlignment="1">
      <alignment/>
    </xf>
    <xf numFmtId="0" fontId="9" fillId="0" borderId="6" xfId="0" applyFont="1" applyBorder="1" applyAlignment="1">
      <alignment horizontal="center"/>
    </xf>
    <xf numFmtId="8" fontId="26" fillId="0" borderId="43" xfId="17" applyFont="1" applyBorder="1" applyAlignment="1">
      <alignment/>
    </xf>
    <xf numFmtId="3" fontId="9" fillId="4" borderId="5" xfId="0" applyNumberFormat="1" applyFont="1" applyFill="1" applyBorder="1" applyAlignment="1">
      <alignment/>
    </xf>
    <xf numFmtId="3" fontId="9" fillId="4" borderId="44" xfId="0" applyNumberFormat="1" applyFont="1" applyFill="1" applyBorder="1" applyAlignment="1">
      <alignment/>
    </xf>
    <xf numFmtId="0" fontId="15" fillId="0" borderId="45" xfId="0" applyFont="1" applyBorder="1" applyAlignment="1">
      <alignment/>
    </xf>
    <xf numFmtId="3" fontId="15" fillId="0" borderId="46" xfId="0" applyNumberFormat="1" applyFont="1" applyBorder="1" applyAlignment="1">
      <alignment horizontal="center"/>
    </xf>
    <xf numFmtId="164" fontId="15" fillId="0" borderId="47" xfId="0" applyNumberFormat="1" applyFont="1" applyBorder="1" applyAlignment="1">
      <alignment/>
    </xf>
    <xf numFmtId="8" fontId="15" fillId="0" borderId="48" xfId="17" applyFont="1" applyBorder="1" applyAlignment="1">
      <alignment/>
    </xf>
    <xf numFmtId="3" fontId="15" fillId="0" borderId="49" xfId="0" applyNumberFormat="1" applyFont="1" applyBorder="1" applyAlignment="1">
      <alignment/>
    </xf>
    <xf numFmtId="3" fontId="15" fillId="0" borderId="47" xfId="0" applyNumberFormat="1" applyFont="1" applyBorder="1" applyAlignment="1">
      <alignment/>
    </xf>
    <xf numFmtId="3" fontId="15" fillId="0" borderId="50" xfId="0" applyNumberFormat="1" applyFont="1" applyBorder="1" applyAlignment="1">
      <alignment/>
    </xf>
    <xf numFmtId="3" fontId="15" fillId="0" borderId="51" xfId="0" applyNumberFormat="1" applyFont="1" applyBorder="1" applyAlignment="1">
      <alignment/>
    </xf>
    <xf numFmtId="164" fontId="15" fillId="0" borderId="34" xfId="0" applyNumberFormat="1" applyFont="1" applyBorder="1" applyAlignment="1">
      <alignment horizontal="center"/>
    </xf>
    <xf numFmtId="0" fontId="9" fillId="0" borderId="0" xfId="0" applyFont="1" applyAlignment="1">
      <alignment horizontal="center"/>
    </xf>
    <xf numFmtId="0" fontId="27" fillId="0" borderId="0" xfId="0" applyFont="1" applyBorder="1" applyAlignment="1">
      <alignment/>
    </xf>
    <xf numFmtId="164" fontId="15" fillId="0" borderId="0" xfId="0" applyNumberFormat="1" applyFont="1" applyBorder="1" applyAlignment="1">
      <alignment/>
    </xf>
    <xf numFmtId="3" fontId="15" fillId="0" borderId="25" xfId="0" applyNumberFormat="1" applyFont="1" applyBorder="1" applyAlignment="1">
      <alignment/>
    </xf>
    <xf numFmtId="3" fontId="15" fillId="0" borderId="0" xfId="0" applyNumberFormat="1" applyFont="1" applyBorder="1" applyAlignment="1">
      <alignment/>
    </xf>
    <xf numFmtId="3" fontId="9" fillId="0" borderId="0" xfId="0" applyNumberFormat="1" applyFont="1" applyBorder="1" applyAlignment="1">
      <alignment/>
    </xf>
    <xf numFmtId="3" fontId="9" fillId="0" borderId="22" xfId="0" applyNumberFormat="1" applyFont="1" applyBorder="1" applyAlignment="1">
      <alignment/>
    </xf>
    <xf numFmtId="0" fontId="9" fillId="0" borderId="30" xfId="0" applyFont="1" applyBorder="1" applyAlignment="1">
      <alignment/>
    </xf>
    <xf numFmtId="4" fontId="15" fillId="0" borderId="0" xfId="0" applyNumberFormat="1" applyFont="1" applyBorder="1" applyAlignment="1">
      <alignment/>
    </xf>
    <xf numFmtId="3" fontId="9" fillId="0" borderId="31" xfId="0" applyNumberFormat="1" applyFont="1" applyBorder="1" applyAlignment="1">
      <alignment/>
    </xf>
    <xf numFmtId="0" fontId="20" fillId="0" borderId="30" xfId="0" applyFont="1" applyBorder="1" applyAlignment="1">
      <alignment/>
    </xf>
    <xf numFmtId="4" fontId="15" fillId="0" borderId="12" xfId="0" applyNumberFormat="1" applyFont="1" applyBorder="1" applyAlignment="1">
      <alignment/>
    </xf>
    <xf numFmtId="0" fontId="9" fillId="0" borderId="34" xfId="0" applyFont="1" applyBorder="1" applyAlignment="1">
      <alignment/>
    </xf>
    <xf numFmtId="1" fontId="12" fillId="3" borderId="36" xfId="0" applyNumberFormat="1" applyFont="1" applyFill="1" applyBorder="1" applyAlignment="1">
      <alignment/>
    </xf>
    <xf numFmtId="1" fontId="9" fillId="0" borderId="36" xfId="0" applyNumberFormat="1" applyFont="1" applyBorder="1" applyAlignment="1">
      <alignment/>
    </xf>
    <xf numFmtId="8" fontId="26" fillId="0" borderId="52" xfId="17" applyNumberFormat="1" applyFont="1" applyBorder="1" applyAlignment="1">
      <alignment/>
    </xf>
    <xf numFmtId="3" fontId="9" fillId="4" borderId="15" xfId="0" applyNumberFormat="1" applyFont="1" applyFill="1" applyBorder="1" applyAlignment="1">
      <alignment/>
    </xf>
    <xf numFmtId="3" fontId="9" fillId="0" borderId="36" xfId="0" applyNumberFormat="1" applyFont="1" applyBorder="1" applyAlignment="1">
      <alignment/>
    </xf>
    <xf numFmtId="3" fontId="9" fillId="4" borderId="36" xfId="0" applyNumberFormat="1" applyFont="1" applyFill="1" applyBorder="1" applyAlignment="1">
      <alignment/>
    </xf>
    <xf numFmtId="3" fontId="9" fillId="0" borderId="16" xfId="0" applyNumberFormat="1" applyFont="1" applyBorder="1" applyAlignment="1">
      <alignment/>
    </xf>
    <xf numFmtId="0" fontId="10" fillId="0" borderId="34" xfId="0" applyFont="1" applyBorder="1" applyAlignment="1">
      <alignment horizontal="left"/>
    </xf>
    <xf numFmtId="8" fontId="26" fillId="0" borderId="35" xfId="17" applyNumberFormat="1" applyFont="1" applyBorder="1" applyAlignment="1">
      <alignment/>
    </xf>
    <xf numFmtId="3" fontId="9" fillId="0" borderId="12" xfId="0" applyNumberFormat="1" applyFont="1" applyBorder="1" applyAlignment="1">
      <alignment/>
    </xf>
    <xf numFmtId="3" fontId="9" fillId="0" borderId="36" xfId="0" applyNumberFormat="1" applyFont="1" applyFill="1" applyBorder="1" applyAlignment="1">
      <alignment/>
    </xf>
    <xf numFmtId="164" fontId="12" fillId="3" borderId="16" xfId="0" applyNumberFormat="1" applyFont="1" applyFill="1" applyBorder="1" applyAlignment="1">
      <alignment/>
    </xf>
    <xf numFmtId="3" fontId="15" fillId="0" borderId="7" xfId="0" applyNumberFormat="1" applyFont="1" applyBorder="1" applyAlignment="1">
      <alignment/>
    </xf>
    <xf numFmtId="3" fontId="15" fillId="2" borderId="0" xfId="0" applyNumberFormat="1" applyFont="1" applyFill="1" applyBorder="1" applyAlignment="1">
      <alignment/>
    </xf>
    <xf numFmtId="0" fontId="9" fillId="0" borderId="38" xfId="0" applyFont="1" applyBorder="1" applyAlignment="1">
      <alignment/>
    </xf>
    <xf numFmtId="1" fontId="12" fillId="5" borderId="36" xfId="0" applyNumberFormat="1" applyFont="1" applyFill="1" applyBorder="1" applyAlignment="1">
      <alignment/>
    </xf>
    <xf numFmtId="8" fontId="26" fillId="0" borderId="39" xfId="17" applyNumberFormat="1" applyFont="1" applyBorder="1" applyAlignment="1">
      <alignment/>
    </xf>
    <xf numFmtId="3" fontId="9" fillId="0" borderId="40" xfId="0" applyNumberFormat="1" applyFont="1" applyBorder="1" applyAlignment="1">
      <alignment/>
    </xf>
    <xf numFmtId="3" fontId="9" fillId="4" borderId="7" xfId="0" applyNumberFormat="1" applyFont="1" applyFill="1" applyBorder="1" applyAlignment="1">
      <alignment/>
    </xf>
    <xf numFmtId="1" fontId="12" fillId="0" borderId="36" xfId="0" applyNumberFormat="1" applyFont="1" applyFill="1" applyBorder="1" applyAlignment="1">
      <alignment/>
    </xf>
    <xf numFmtId="3" fontId="9" fillId="0" borderId="5" xfId="0" applyNumberFormat="1" applyFont="1" applyFill="1" applyBorder="1" applyAlignment="1">
      <alignment/>
    </xf>
    <xf numFmtId="4" fontId="9" fillId="0" borderId="0" xfId="0" applyNumberFormat="1" applyFont="1" applyBorder="1" applyAlignment="1">
      <alignment/>
    </xf>
    <xf numFmtId="3" fontId="9" fillId="0" borderId="7" xfId="0" applyNumberFormat="1" applyFont="1" applyBorder="1" applyAlignment="1">
      <alignment/>
    </xf>
    <xf numFmtId="0" fontId="20" fillId="0" borderId="38" xfId="0" applyFont="1" applyBorder="1" applyAlignment="1">
      <alignment/>
    </xf>
    <xf numFmtId="4" fontId="9" fillId="0" borderId="36" xfId="0" applyNumberFormat="1" applyFont="1" applyBorder="1" applyAlignment="1">
      <alignment/>
    </xf>
    <xf numFmtId="4" fontId="9" fillId="0" borderId="40" xfId="0" applyNumberFormat="1" applyFont="1" applyBorder="1" applyAlignment="1">
      <alignment/>
    </xf>
    <xf numFmtId="0" fontId="15" fillId="0" borderId="38" xfId="0" applyFont="1" applyBorder="1" applyAlignment="1">
      <alignment/>
    </xf>
    <xf numFmtId="3" fontId="26" fillId="0" borderId="35" xfId="0" applyNumberFormat="1" applyFont="1" applyBorder="1" applyAlignment="1">
      <alignment/>
    </xf>
    <xf numFmtId="9" fontId="12" fillId="5" borderId="36" xfId="23" applyFont="1" applyFill="1" applyBorder="1" applyAlignment="1">
      <alignment/>
    </xf>
    <xf numFmtId="172" fontId="28" fillId="0" borderId="14" xfId="23" applyNumberFormat="1" applyFont="1" applyBorder="1" applyAlignment="1">
      <alignment horizontal="center"/>
    </xf>
    <xf numFmtId="3" fontId="15" fillId="0" borderId="16" xfId="0" applyNumberFormat="1" applyFont="1" applyBorder="1" applyAlignment="1">
      <alignment/>
    </xf>
    <xf numFmtId="1" fontId="29" fillId="0" borderId="14" xfId="0" applyNumberFormat="1" applyFont="1" applyBorder="1" applyAlignment="1">
      <alignment horizontal="center"/>
    </xf>
    <xf numFmtId="4" fontId="26" fillId="0" borderId="35" xfId="0" applyNumberFormat="1" applyFont="1" applyBorder="1" applyAlignment="1">
      <alignment/>
    </xf>
    <xf numFmtId="3" fontId="9" fillId="4" borderId="16" xfId="0" applyNumberFormat="1" applyFont="1" applyFill="1" applyBorder="1" applyAlignment="1">
      <alignment/>
    </xf>
    <xf numFmtId="9" fontId="12" fillId="5" borderId="36" xfId="23" applyNumberFormat="1" applyFont="1" applyFill="1" applyBorder="1" applyAlignment="1">
      <alignment/>
    </xf>
    <xf numFmtId="10" fontId="12" fillId="5" borderId="36" xfId="23" applyNumberFormat="1" applyFont="1" applyFill="1" applyBorder="1" applyAlignment="1">
      <alignment/>
    </xf>
    <xf numFmtId="3" fontId="9" fillId="4" borderId="7" xfId="0" applyNumberFormat="1" applyFont="1" applyFill="1" applyBorder="1" applyAlignment="1">
      <alignment/>
    </xf>
    <xf numFmtId="3" fontId="15" fillId="4" borderId="7" xfId="0" applyNumberFormat="1" applyFont="1" applyFill="1" applyBorder="1" applyAlignment="1">
      <alignment/>
    </xf>
    <xf numFmtId="3" fontId="9" fillId="2" borderId="0" xfId="0" applyNumberFormat="1" applyFont="1" applyFill="1" applyAlignment="1">
      <alignment/>
    </xf>
    <xf numFmtId="9" fontId="9" fillId="0" borderId="6" xfId="0" applyNumberFormat="1" applyFont="1" applyBorder="1" applyAlignment="1">
      <alignment horizontal="center"/>
    </xf>
    <xf numFmtId="172" fontId="12" fillId="5" borderId="36" xfId="23" applyNumberFormat="1" applyFont="1" applyFill="1" applyBorder="1" applyAlignment="1">
      <alignment/>
    </xf>
    <xf numFmtId="172" fontId="12" fillId="5" borderId="40" xfId="23" applyNumberFormat="1" applyFont="1" applyFill="1" applyBorder="1" applyAlignment="1">
      <alignment/>
    </xf>
    <xf numFmtId="9" fontId="12" fillId="5" borderId="40" xfId="23" applyNumberFormat="1" applyFont="1" applyFill="1" applyBorder="1" applyAlignment="1">
      <alignment/>
    </xf>
    <xf numFmtId="10" fontId="29" fillId="0" borderId="14" xfId="23" applyNumberFormat="1" applyFont="1" applyBorder="1" applyAlignment="1">
      <alignment horizontal="center"/>
    </xf>
    <xf numFmtId="4" fontId="15" fillId="0" borderId="40" xfId="0" applyNumberFormat="1" applyFont="1" applyBorder="1" applyAlignment="1">
      <alignment/>
    </xf>
    <xf numFmtId="1" fontId="29" fillId="0" borderId="5" xfId="0" applyNumberFormat="1" applyFont="1" applyBorder="1" applyAlignment="1">
      <alignment horizontal="center"/>
    </xf>
    <xf numFmtId="0" fontId="9" fillId="0" borderId="6" xfId="0" applyFont="1" applyBorder="1" applyAlignment="1">
      <alignment horizontal="center"/>
    </xf>
    <xf numFmtId="164" fontId="12" fillId="3" borderId="36" xfId="0" applyNumberFormat="1" applyFont="1" applyFill="1" applyBorder="1" applyAlignment="1">
      <alignment/>
    </xf>
    <xf numFmtId="3" fontId="9" fillId="0" borderId="40" xfId="0" applyNumberFormat="1" applyFont="1" applyBorder="1" applyAlignment="1">
      <alignment/>
    </xf>
    <xf numFmtId="3" fontId="9" fillId="0" borderId="53" xfId="0" applyNumberFormat="1" applyFont="1" applyFill="1" applyBorder="1" applyAlignment="1">
      <alignment/>
    </xf>
    <xf numFmtId="3" fontId="9" fillId="4" borderId="40" xfId="0" applyNumberFormat="1" applyFont="1" applyFill="1" applyBorder="1" applyAlignment="1">
      <alignment/>
    </xf>
    <xf numFmtId="38" fontId="30" fillId="3" borderId="40" xfId="15" applyNumberFormat="1" applyFont="1" applyFill="1" applyBorder="1" applyAlignment="1">
      <alignment/>
    </xf>
    <xf numFmtId="38" fontId="30" fillId="0" borderId="5" xfId="15" applyNumberFormat="1" applyFont="1" applyBorder="1" applyAlignment="1">
      <alignment/>
    </xf>
    <xf numFmtId="8" fontId="26" fillId="0" borderId="39" xfId="17" applyFont="1" applyBorder="1" applyAlignment="1">
      <alignment/>
    </xf>
    <xf numFmtId="3" fontId="15" fillId="4" borderId="40" xfId="0" applyNumberFormat="1" applyFont="1" applyFill="1" applyBorder="1" applyAlignment="1">
      <alignment/>
    </xf>
    <xf numFmtId="171" fontId="15" fillId="0" borderId="40" xfId="0" applyNumberFormat="1" applyFont="1" applyBorder="1" applyAlignment="1">
      <alignment/>
    </xf>
    <xf numFmtId="3" fontId="30" fillId="4" borderId="40" xfId="0" applyNumberFormat="1" applyFont="1" applyFill="1" applyBorder="1" applyAlignment="1">
      <alignment/>
    </xf>
    <xf numFmtId="3" fontId="15" fillId="0" borderId="44" xfId="0" applyNumberFormat="1" applyFont="1" applyBorder="1" applyAlignment="1">
      <alignment/>
    </xf>
    <xf numFmtId="0" fontId="15" fillId="0" borderId="54" xfId="0" applyFont="1" applyBorder="1" applyAlignment="1">
      <alignment/>
    </xf>
    <xf numFmtId="0" fontId="15" fillId="0" borderId="55" xfId="0" applyFont="1" applyBorder="1" applyAlignment="1">
      <alignment horizontal="center"/>
    </xf>
    <xf numFmtId="8" fontId="15" fillId="0" borderId="56" xfId="17" applyFont="1" applyBorder="1" applyAlignment="1">
      <alignment/>
    </xf>
    <xf numFmtId="38" fontId="15" fillId="0" borderId="57" xfId="17" applyNumberFormat="1" applyFont="1" applyBorder="1" applyAlignment="1">
      <alignment/>
    </xf>
    <xf numFmtId="38" fontId="15" fillId="0" borderId="47" xfId="17" applyNumberFormat="1" applyFont="1" applyBorder="1" applyAlignment="1">
      <alignment/>
    </xf>
    <xf numFmtId="38" fontId="15" fillId="0" borderId="50" xfId="17" applyNumberFormat="1" applyFont="1" applyBorder="1" applyAlignment="1">
      <alignment/>
    </xf>
    <xf numFmtId="38" fontId="15" fillId="0" borderId="55" xfId="17" applyNumberFormat="1" applyFont="1" applyBorder="1" applyAlignment="1">
      <alignment/>
    </xf>
    <xf numFmtId="38" fontId="15" fillId="0" borderId="58" xfId="17" applyNumberFormat="1" applyFont="1" applyBorder="1" applyAlignment="1">
      <alignment/>
    </xf>
    <xf numFmtId="164" fontId="15" fillId="0" borderId="59" xfId="0" applyNumberFormat="1" applyFont="1" applyBorder="1" applyAlignment="1">
      <alignment horizontal="center"/>
    </xf>
    <xf numFmtId="0" fontId="9" fillId="0" borderId="60" xfId="0" applyFont="1" applyBorder="1" applyAlignment="1">
      <alignment/>
    </xf>
    <xf numFmtId="0" fontId="9" fillId="0" borderId="61" xfId="0" applyFont="1" applyBorder="1" applyAlignment="1">
      <alignment/>
    </xf>
    <xf numFmtId="164" fontId="9" fillId="2" borderId="0" xfId="0" applyNumberFormat="1" applyFont="1" applyFill="1" applyBorder="1" applyAlignment="1">
      <alignment/>
    </xf>
    <xf numFmtId="164" fontId="9" fillId="2" borderId="0" xfId="0" applyNumberFormat="1" applyFont="1" applyFill="1" applyAlignment="1">
      <alignment/>
    </xf>
    <xf numFmtId="0" fontId="31" fillId="0" borderId="21" xfId="0" applyFont="1" applyBorder="1" applyAlignment="1">
      <alignment/>
    </xf>
    <xf numFmtId="0" fontId="31" fillId="0" borderId="25" xfId="0" applyFont="1" applyBorder="1" applyAlignment="1">
      <alignment/>
    </xf>
    <xf numFmtId="0" fontId="0" fillId="0" borderId="25" xfId="0" applyBorder="1" applyAlignment="1">
      <alignment/>
    </xf>
    <xf numFmtId="164" fontId="17" fillId="0" borderId="25" xfId="0" applyNumberFormat="1" applyFont="1" applyBorder="1" applyAlignment="1">
      <alignment/>
    </xf>
    <xf numFmtId="0" fontId="17" fillId="0" borderId="25" xfId="0" applyFont="1" applyBorder="1" applyAlignment="1">
      <alignment/>
    </xf>
    <xf numFmtId="0" fontId="9" fillId="0" borderId="25" xfId="0" applyFont="1" applyBorder="1" applyAlignment="1">
      <alignment/>
    </xf>
    <xf numFmtId="0" fontId="15" fillId="0" borderId="25" xfId="0" applyFont="1" applyBorder="1" applyAlignment="1">
      <alignment/>
    </xf>
    <xf numFmtId="0" fontId="9" fillId="0" borderId="22" xfId="0" applyFont="1" applyBorder="1" applyAlignment="1">
      <alignment/>
    </xf>
    <xf numFmtId="164" fontId="9" fillId="0" borderId="62" xfId="0" applyNumberFormat="1" applyFont="1" applyBorder="1" applyAlignment="1">
      <alignment horizontal="center"/>
    </xf>
    <xf numFmtId="0" fontId="21" fillId="0" borderId="30" xfId="0" applyFont="1" applyBorder="1" applyAlignment="1">
      <alignment/>
    </xf>
    <xf numFmtId="0" fontId="21" fillId="0" borderId="0" xfId="0" applyFont="1" applyBorder="1" applyAlignment="1">
      <alignment horizontal="center"/>
    </xf>
    <xf numFmtId="0" fontId="17" fillId="0" borderId="0" xfId="0" applyFont="1" applyBorder="1" applyAlignment="1">
      <alignment/>
    </xf>
    <xf numFmtId="164" fontId="17" fillId="0" borderId="0" xfId="0" applyNumberFormat="1" applyFont="1" applyBorder="1" applyAlignment="1">
      <alignment/>
    </xf>
    <xf numFmtId="164" fontId="9" fillId="0" borderId="63" xfId="0" applyNumberFormat="1" applyFont="1" applyBorder="1" applyAlignment="1">
      <alignment horizontal="center" vertical="center"/>
    </xf>
    <xf numFmtId="0" fontId="9" fillId="0" borderId="31" xfId="0" applyFont="1" applyBorder="1" applyAlignment="1">
      <alignment horizontal="center"/>
    </xf>
    <xf numFmtId="0" fontId="15" fillId="0" borderId="21" xfId="0" applyFont="1" applyBorder="1" applyAlignment="1">
      <alignment/>
    </xf>
    <xf numFmtId="164" fontId="15" fillId="0" borderId="23" xfId="0" applyNumberFormat="1" applyFont="1" applyBorder="1" applyAlignment="1">
      <alignment/>
    </xf>
    <xf numFmtId="0" fontId="15" fillId="0" borderId="21" xfId="0" applyFont="1" applyBorder="1" applyAlignment="1">
      <alignment horizontal="left" wrapText="1"/>
    </xf>
    <xf numFmtId="164" fontId="9" fillId="0" borderId="63" xfId="0" applyNumberFormat="1" applyFont="1" applyBorder="1" applyAlignment="1">
      <alignment horizontal="center"/>
    </xf>
    <xf numFmtId="0" fontId="15" fillId="0" borderId="26" xfId="0" applyFont="1" applyBorder="1" applyAlignment="1">
      <alignment/>
    </xf>
    <xf numFmtId="164" fontId="15" fillId="0" borderId="26" xfId="0" applyNumberFormat="1" applyFont="1" applyBorder="1" applyAlignment="1">
      <alignment horizontal="center"/>
    </xf>
    <xf numFmtId="0" fontId="15" fillId="0" borderId="29" xfId="0" applyFont="1" applyBorder="1" applyAlignment="1">
      <alignment horizontal="center"/>
    </xf>
    <xf numFmtId="164" fontId="9" fillId="0" borderId="64" xfId="0" applyNumberFormat="1" applyFont="1" applyBorder="1" applyAlignment="1">
      <alignment/>
    </xf>
    <xf numFmtId="0" fontId="9" fillId="0" borderId="33" xfId="0" applyFont="1" applyBorder="1" applyAlignment="1">
      <alignment/>
    </xf>
    <xf numFmtId="0" fontId="9" fillId="0" borderId="27" xfId="0" applyFont="1" applyBorder="1" applyAlignment="1">
      <alignment/>
    </xf>
    <xf numFmtId="164" fontId="9" fillId="0" borderId="21" xfId="0" applyNumberFormat="1" applyFont="1" applyBorder="1" applyAlignment="1">
      <alignment horizontal="center"/>
    </xf>
    <xf numFmtId="164" fontId="9" fillId="0" borderId="65" xfId="0" applyNumberFormat="1" applyFont="1" applyBorder="1" applyAlignment="1">
      <alignment horizontal="center"/>
    </xf>
    <xf numFmtId="0" fontId="9" fillId="0" borderId="51" xfId="0" applyFont="1" applyBorder="1" applyAlignment="1">
      <alignment/>
    </xf>
    <xf numFmtId="1" fontId="12" fillId="3" borderId="36" xfId="0" applyNumberFormat="1" applyFont="1" applyFill="1" applyBorder="1" applyAlignment="1">
      <alignment horizontal="right"/>
    </xf>
    <xf numFmtId="169" fontId="15" fillId="0" borderId="36" xfId="0" applyNumberFormat="1" applyFont="1" applyBorder="1" applyAlignment="1">
      <alignment/>
    </xf>
    <xf numFmtId="165" fontId="9" fillId="4" borderId="16" xfId="0" applyNumberFormat="1" applyFont="1" applyFill="1" applyBorder="1" applyAlignment="1">
      <alignment/>
    </xf>
    <xf numFmtId="3" fontId="9" fillId="4" borderId="16" xfId="0" applyNumberFormat="1" applyFont="1" applyFill="1" applyBorder="1" applyAlignment="1">
      <alignment/>
    </xf>
    <xf numFmtId="3" fontId="15" fillId="0" borderId="37" xfId="0" applyNumberFormat="1" applyFont="1" applyFill="1" applyBorder="1" applyAlignment="1">
      <alignment/>
    </xf>
    <xf numFmtId="38" fontId="12" fillId="3" borderId="36" xfId="15" applyNumberFormat="1" applyFont="1" applyFill="1" applyBorder="1" applyAlignment="1">
      <alignment/>
    </xf>
    <xf numFmtId="38" fontId="9" fillId="0" borderId="14" xfId="15" applyNumberFormat="1" applyFont="1" applyBorder="1" applyAlignment="1">
      <alignment/>
    </xf>
    <xf numFmtId="9" fontId="13" fillId="0" borderId="36" xfId="0" applyNumberFormat="1" applyFont="1" applyBorder="1" applyAlignment="1">
      <alignment/>
    </xf>
    <xf numFmtId="3" fontId="9" fillId="0" borderId="66" xfId="0" applyNumberFormat="1" applyFont="1" applyBorder="1" applyAlignment="1">
      <alignment/>
    </xf>
    <xf numFmtId="0" fontId="9" fillId="0" borderId="34" xfId="0" applyFont="1" applyBorder="1" applyAlignment="1">
      <alignment horizontal="right"/>
    </xf>
    <xf numFmtId="3" fontId="9" fillId="0" borderId="14" xfId="0" applyNumberFormat="1" applyFont="1" applyFill="1" applyBorder="1" applyAlignment="1">
      <alignment/>
    </xf>
    <xf numFmtId="3" fontId="9" fillId="0" borderId="16" xfId="0" applyNumberFormat="1" applyFont="1" applyFill="1" applyBorder="1" applyAlignment="1">
      <alignment/>
    </xf>
    <xf numFmtId="0" fontId="9" fillId="0" borderId="34" xfId="0" applyFont="1" applyBorder="1" applyAlignment="1">
      <alignment horizontal="left"/>
    </xf>
    <xf numFmtId="164" fontId="12" fillId="3" borderId="40" xfId="0" applyNumberFormat="1" applyFont="1" applyFill="1" applyBorder="1" applyAlignment="1">
      <alignment horizontal="right"/>
    </xf>
    <xf numFmtId="164" fontId="9" fillId="0" borderId="5" xfId="0" applyNumberFormat="1" applyFont="1" applyBorder="1" applyAlignment="1">
      <alignment/>
    </xf>
    <xf numFmtId="3" fontId="15" fillId="0" borderId="7" xfId="0" applyNumberFormat="1" applyFont="1" applyFill="1" applyBorder="1" applyAlignment="1">
      <alignment/>
    </xf>
    <xf numFmtId="0" fontId="9" fillId="0" borderId="38" xfId="0" applyFont="1" applyBorder="1" applyAlignment="1">
      <alignment horizontal="right"/>
    </xf>
    <xf numFmtId="0" fontId="32" fillId="0" borderId="6" xfId="0" applyFont="1" applyBorder="1" applyAlignment="1">
      <alignment horizontal="center"/>
    </xf>
    <xf numFmtId="164" fontId="12" fillId="3" borderId="19" xfId="0" applyNumberFormat="1" applyFont="1" applyFill="1" applyBorder="1" applyAlignment="1">
      <alignment horizontal="right"/>
    </xf>
    <xf numFmtId="164" fontId="9" fillId="0" borderId="67" xfId="0" applyNumberFormat="1" applyFont="1" applyBorder="1" applyAlignment="1">
      <alignment/>
    </xf>
    <xf numFmtId="3" fontId="9" fillId="0" borderId="67" xfId="0" applyNumberFormat="1" applyFont="1" applyFill="1" applyBorder="1" applyAlignment="1">
      <alignment/>
    </xf>
    <xf numFmtId="3" fontId="15" fillId="0" borderId="19" xfId="0" applyNumberFormat="1" applyFont="1" applyBorder="1" applyAlignment="1">
      <alignment/>
    </xf>
    <xf numFmtId="3" fontId="15" fillId="0" borderId="68" xfId="0" applyNumberFormat="1" applyFont="1" applyFill="1" applyBorder="1" applyAlignment="1">
      <alignment/>
    </xf>
    <xf numFmtId="3" fontId="9" fillId="0" borderId="69" xfId="0" applyNumberFormat="1" applyFont="1" applyBorder="1" applyAlignment="1">
      <alignment/>
    </xf>
    <xf numFmtId="0" fontId="15" fillId="0" borderId="60" xfId="0" applyFont="1" applyBorder="1" applyAlignment="1">
      <alignment/>
    </xf>
    <xf numFmtId="164" fontId="15" fillId="0" borderId="70" xfId="0" applyNumberFormat="1" applyFont="1" applyBorder="1" applyAlignment="1">
      <alignment/>
    </xf>
    <xf numFmtId="3" fontId="15" fillId="0" borderId="70" xfId="0" applyNumberFormat="1" applyFont="1" applyBorder="1" applyAlignment="1">
      <alignment/>
    </xf>
    <xf numFmtId="3" fontId="15" fillId="0" borderId="60" xfId="0" applyNumberFormat="1" applyFont="1" applyBorder="1" applyAlignment="1">
      <alignment/>
    </xf>
    <xf numFmtId="3" fontId="15" fillId="0" borderId="61" xfId="0" applyNumberFormat="1" applyFont="1" applyBorder="1" applyAlignment="1">
      <alignment/>
    </xf>
    <xf numFmtId="0" fontId="15" fillId="0" borderId="25" xfId="0" applyFont="1" applyBorder="1" applyAlignment="1">
      <alignment horizontal="center"/>
    </xf>
    <xf numFmtId="164" fontId="9" fillId="0" borderId="0" xfId="0" applyNumberFormat="1" applyFont="1" applyBorder="1" applyAlignment="1">
      <alignment/>
    </xf>
    <xf numFmtId="0" fontId="15" fillId="0" borderId="0" xfId="0" applyFont="1" applyBorder="1" applyAlignment="1">
      <alignment/>
    </xf>
    <xf numFmtId="0" fontId="10" fillId="0" borderId="6" xfId="0" applyFont="1" applyBorder="1" applyAlignment="1">
      <alignment horizontal="center"/>
    </xf>
    <xf numFmtId="0" fontId="15" fillId="0" borderId="7" xfId="0" applyFont="1" applyBorder="1" applyAlignment="1">
      <alignment/>
    </xf>
    <xf numFmtId="164" fontId="15" fillId="0" borderId="40" xfId="0" applyNumberFormat="1" applyFont="1" applyBorder="1" applyAlignment="1">
      <alignment/>
    </xf>
    <xf numFmtId="0" fontId="15" fillId="0" borderId="5" xfId="0" applyFont="1" applyBorder="1" applyAlignment="1">
      <alignment/>
    </xf>
    <xf numFmtId="0" fontId="15" fillId="0" borderId="71" xfId="0" applyFont="1" applyBorder="1" applyAlignment="1">
      <alignment/>
    </xf>
    <xf numFmtId="0" fontId="15" fillId="0" borderId="40" xfId="0" applyFont="1" applyBorder="1" applyAlignment="1">
      <alignment/>
    </xf>
    <xf numFmtId="0" fontId="9" fillId="0" borderId="7" xfId="0" applyFont="1" applyBorder="1" applyAlignment="1">
      <alignment/>
    </xf>
    <xf numFmtId="0" fontId="9" fillId="0" borderId="41" xfId="0" applyFont="1" applyBorder="1" applyAlignment="1">
      <alignment/>
    </xf>
    <xf numFmtId="1" fontId="9" fillId="0" borderId="5" xfId="0" applyNumberFormat="1" applyFont="1" applyBorder="1" applyAlignment="1">
      <alignment/>
    </xf>
    <xf numFmtId="8" fontId="26" fillId="0" borderId="5" xfId="17" applyFont="1" applyBorder="1" applyAlignment="1">
      <alignment/>
    </xf>
    <xf numFmtId="3" fontId="9" fillId="4" borderId="53" xfId="0" applyNumberFormat="1" applyFont="1" applyFill="1" applyBorder="1" applyAlignment="1">
      <alignment/>
    </xf>
    <xf numFmtId="3" fontId="9" fillId="4" borderId="36" xfId="0" applyNumberFormat="1" applyFont="1" applyFill="1" applyBorder="1" applyAlignment="1">
      <alignment/>
    </xf>
    <xf numFmtId="3" fontId="9" fillId="0" borderId="37" xfId="0" applyNumberFormat="1" applyFont="1" applyFill="1" applyBorder="1" applyAlignment="1">
      <alignment/>
    </xf>
    <xf numFmtId="2" fontId="9" fillId="2" borderId="0" xfId="0" applyNumberFormat="1" applyFont="1" applyFill="1" applyAlignment="1">
      <alignment/>
    </xf>
    <xf numFmtId="8" fontId="26" fillId="0" borderId="14" xfId="17" applyFont="1" applyBorder="1" applyAlignment="1">
      <alignment/>
    </xf>
    <xf numFmtId="0" fontId="9" fillId="0" borderId="7" xfId="0" applyFont="1" applyBorder="1" applyAlignment="1">
      <alignment horizontal="center"/>
    </xf>
    <xf numFmtId="164" fontId="12" fillId="3" borderId="40" xfId="0" applyNumberFormat="1" applyFont="1" applyFill="1" applyBorder="1" applyAlignment="1">
      <alignment/>
    </xf>
    <xf numFmtId="3" fontId="9" fillId="4" borderId="71" xfId="0" applyNumberFormat="1" applyFont="1" applyFill="1" applyBorder="1" applyAlignment="1">
      <alignment/>
    </xf>
    <xf numFmtId="0" fontId="9" fillId="0" borderId="40" xfId="0" applyFont="1" applyBorder="1" applyAlignment="1">
      <alignment/>
    </xf>
    <xf numFmtId="2" fontId="12" fillId="3" borderId="36" xfId="0" applyNumberFormat="1" applyFont="1" applyFill="1" applyBorder="1" applyAlignment="1">
      <alignment horizontal="right"/>
    </xf>
    <xf numFmtId="164" fontId="9" fillId="0" borderId="14" xfId="0" applyNumberFormat="1" applyFont="1" applyBorder="1" applyAlignment="1">
      <alignment/>
    </xf>
    <xf numFmtId="4" fontId="15" fillId="0" borderId="36" xfId="0" applyNumberFormat="1" applyFont="1" applyBorder="1" applyAlignment="1">
      <alignment/>
    </xf>
    <xf numFmtId="164" fontId="12" fillId="3" borderId="19" xfId="0" applyNumberFormat="1" applyFont="1" applyFill="1" applyBorder="1" applyAlignment="1">
      <alignment/>
    </xf>
    <xf numFmtId="1" fontId="9" fillId="0" borderId="19" xfId="0" applyNumberFormat="1" applyFont="1" applyBorder="1" applyAlignment="1">
      <alignment/>
    </xf>
    <xf numFmtId="8" fontId="26" fillId="0" borderId="67" xfId="17" applyFont="1" applyBorder="1" applyAlignment="1">
      <alignment/>
    </xf>
    <xf numFmtId="3" fontId="9" fillId="4" borderId="72" xfId="0" applyNumberFormat="1" applyFont="1" applyFill="1" applyBorder="1" applyAlignment="1">
      <alignment/>
    </xf>
    <xf numFmtId="3" fontId="9" fillId="4" borderId="19" xfId="0" applyNumberFormat="1" applyFont="1" applyFill="1" applyBorder="1" applyAlignment="1">
      <alignment/>
    </xf>
    <xf numFmtId="3" fontId="15" fillId="0" borderId="69" xfId="0" applyNumberFormat="1" applyFont="1" applyFill="1" applyBorder="1" applyAlignment="1">
      <alignment/>
    </xf>
    <xf numFmtId="164" fontId="15" fillId="0" borderId="60" xfId="0" applyNumberFormat="1" applyFont="1" applyBorder="1" applyAlignment="1">
      <alignment/>
    </xf>
    <xf numFmtId="164" fontId="15" fillId="0" borderId="73" xfId="0" applyNumberFormat="1" applyFont="1" applyBorder="1" applyAlignment="1">
      <alignment/>
    </xf>
    <xf numFmtId="8" fontId="15" fillId="0" borderId="73" xfId="17" applyFont="1" applyBorder="1" applyAlignment="1">
      <alignment/>
    </xf>
    <xf numFmtId="3" fontId="15" fillId="0" borderId="73" xfId="0" applyNumberFormat="1" applyFont="1" applyBorder="1" applyAlignment="1">
      <alignment/>
    </xf>
    <xf numFmtId="3" fontId="27" fillId="0" borderId="50" xfId="0" applyNumberFormat="1" applyFont="1" applyBorder="1" applyAlignment="1">
      <alignment/>
    </xf>
    <xf numFmtId="164" fontId="9" fillId="0" borderId="38" xfId="0" applyNumberFormat="1" applyFont="1" applyBorder="1" applyAlignment="1">
      <alignment horizontal="center"/>
    </xf>
    <xf numFmtId="164" fontId="15" fillId="0" borderId="12" xfId="0" applyNumberFormat="1" applyFont="1" applyBorder="1" applyAlignment="1">
      <alignment/>
    </xf>
    <xf numFmtId="0" fontId="15" fillId="0" borderId="12" xfId="0" applyFont="1" applyBorder="1" applyAlignment="1">
      <alignment/>
    </xf>
    <xf numFmtId="3" fontId="15" fillId="0" borderId="12" xfId="0" applyNumberFormat="1" applyFont="1" applyBorder="1" applyAlignment="1">
      <alignment/>
    </xf>
    <xf numFmtId="164" fontId="22" fillId="0" borderId="40" xfId="0" applyNumberFormat="1" applyFont="1" applyBorder="1" applyAlignment="1">
      <alignment/>
    </xf>
    <xf numFmtId="1" fontId="9" fillId="0" borderId="40" xfId="0" applyNumberFormat="1" applyFont="1" applyBorder="1" applyAlignment="1">
      <alignment/>
    </xf>
    <xf numFmtId="0" fontId="26" fillId="0" borderId="5" xfId="0" applyFont="1" applyBorder="1" applyAlignment="1">
      <alignment/>
    </xf>
    <xf numFmtId="3" fontId="9" fillId="0" borderId="74" xfId="0" applyNumberFormat="1" applyFont="1" applyBorder="1" applyAlignment="1">
      <alignment/>
    </xf>
    <xf numFmtId="1" fontId="9" fillId="0" borderId="16" xfId="0" applyNumberFormat="1" applyFont="1" applyBorder="1" applyAlignment="1">
      <alignment/>
    </xf>
    <xf numFmtId="3" fontId="9" fillId="4" borderId="74" xfId="0" applyNumberFormat="1" applyFont="1" applyFill="1" applyBorder="1" applyAlignment="1">
      <alignment/>
    </xf>
    <xf numFmtId="0" fontId="15" fillId="0" borderId="36" xfId="0" applyFont="1" applyBorder="1" applyAlignment="1">
      <alignment/>
    </xf>
    <xf numFmtId="8" fontId="26" fillId="0" borderId="5" xfId="17" applyNumberFormat="1" applyFont="1" applyBorder="1" applyAlignment="1">
      <alignment/>
    </xf>
    <xf numFmtId="3" fontId="9" fillId="4" borderId="75" xfId="0" applyNumberFormat="1" applyFont="1" applyFill="1" applyBorder="1" applyAlignment="1">
      <alignment/>
    </xf>
    <xf numFmtId="3" fontId="9" fillId="0" borderId="0" xfId="0" applyNumberFormat="1" applyFont="1" applyAlignment="1">
      <alignment/>
    </xf>
    <xf numFmtId="3" fontId="9" fillId="0" borderId="40" xfId="0" applyNumberFormat="1" applyFont="1" applyFill="1" applyBorder="1" applyAlignment="1">
      <alignment/>
    </xf>
    <xf numFmtId="0" fontId="15" fillId="0" borderId="9" xfId="0" applyFont="1" applyBorder="1" applyAlignment="1">
      <alignment/>
    </xf>
    <xf numFmtId="1" fontId="9" fillId="4" borderId="16" xfId="0" applyNumberFormat="1" applyFont="1" applyFill="1" applyBorder="1" applyAlignment="1">
      <alignment/>
    </xf>
    <xf numFmtId="1" fontId="9" fillId="4" borderId="36" xfId="0" applyNumberFormat="1" applyFont="1" applyFill="1" applyBorder="1" applyAlignment="1">
      <alignment/>
    </xf>
    <xf numFmtId="1" fontId="12" fillId="3" borderId="19" xfId="0" applyNumberFormat="1" applyFont="1" applyFill="1" applyBorder="1" applyAlignment="1">
      <alignment/>
    </xf>
    <xf numFmtId="1" fontId="9" fillId="0" borderId="67" xfId="0" applyNumberFormat="1" applyFont="1" applyBorder="1" applyAlignment="1">
      <alignment/>
    </xf>
    <xf numFmtId="3" fontId="9" fillId="4" borderId="76" xfId="0" applyNumberFormat="1" applyFont="1" applyFill="1" applyBorder="1" applyAlignment="1">
      <alignment/>
    </xf>
    <xf numFmtId="0" fontId="15" fillId="0" borderId="19" xfId="0" applyFont="1" applyBorder="1" applyAlignment="1">
      <alignment/>
    </xf>
    <xf numFmtId="1" fontId="9" fillId="4" borderId="7" xfId="0" applyNumberFormat="1" applyFont="1" applyFill="1" applyBorder="1" applyAlignment="1">
      <alignment/>
    </xf>
    <xf numFmtId="0" fontId="9" fillId="0" borderId="69" xfId="0" applyFont="1" applyBorder="1" applyAlignment="1">
      <alignment/>
    </xf>
    <xf numFmtId="0" fontId="15" fillId="0" borderId="77" xfId="0" applyFont="1" applyBorder="1" applyAlignment="1">
      <alignment/>
    </xf>
    <xf numFmtId="1" fontId="15" fillId="0" borderId="73" xfId="0" applyNumberFormat="1" applyFont="1" applyBorder="1" applyAlignment="1">
      <alignment/>
    </xf>
    <xf numFmtId="8" fontId="15" fillId="0" borderId="47" xfId="17" applyFont="1" applyBorder="1" applyAlignment="1">
      <alignment/>
    </xf>
    <xf numFmtId="1" fontId="15" fillId="0" borderId="49" xfId="0" applyNumberFormat="1" applyFont="1" applyBorder="1" applyAlignment="1">
      <alignment/>
    </xf>
    <xf numFmtId="0" fontId="15" fillId="0" borderId="70" xfId="0" applyFont="1" applyBorder="1" applyAlignment="1">
      <alignment/>
    </xf>
    <xf numFmtId="1" fontId="15" fillId="0" borderId="70" xfId="0" applyNumberFormat="1" applyFont="1" applyBorder="1" applyAlignment="1">
      <alignment/>
    </xf>
    <xf numFmtId="1" fontId="27" fillId="0" borderId="50" xfId="0" applyNumberFormat="1" applyFont="1" applyBorder="1" applyAlignment="1">
      <alignment/>
    </xf>
    <xf numFmtId="0" fontId="15" fillId="0" borderId="61" xfId="0" applyFont="1" applyBorder="1" applyAlignment="1">
      <alignment/>
    </xf>
    <xf numFmtId="1" fontId="15" fillId="0" borderId="0" xfId="0" applyNumberFormat="1" applyFont="1" applyBorder="1" applyAlignment="1">
      <alignment/>
    </xf>
    <xf numFmtId="164" fontId="9" fillId="0" borderId="34" xfId="0" applyNumberFormat="1" applyFont="1" applyBorder="1" applyAlignment="1">
      <alignment/>
    </xf>
    <xf numFmtId="0" fontId="9" fillId="0" borderId="65" xfId="0" applyFont="1" applyBorder="1" applyAlignment="1">
      <alignment/>
    </xf>
    <xf numFmtId="1" fontId="10" fillId="0" borderId="0" xfId="0" applyNumberFormat="1" applyFont="1" applyBorder="1" applyAlignment="1">
      <alignment horizontal="right"/>
    </xf>
    <xf numFmtId="9" fontId="33" fillId="0" borderId="0" xfId="23" applyFont="1" applyFill="1" applyBorder="1" applyAlignment="1">
      <alignment/>
    </xf>
    <xf numFmtId="0" fontId="13" fillId="0" borderId="0" xfId="0" applyFont="1" applyBorder="1" applyAlignment="1">
      <alignment/>
    </xf>
    <xf numFmtId="1" fontId="15" fillId="0" borderId="12" xfId="0" applyNumberFormat="1" applyFont="1" applyBorder="1" applyAlignment="1">
      <alignment/>
    </xf>
    <xf numFmtId="0" fontId="15" fillId="0" borderId="6" xfId="0" applyFont="1" applyBorder="1" applyAlignment="1">
      <alignment/>
    </xf>
    <xf numFmtId="1" fontId="15" fillId="0" borderId="6" xfId="0" applyNumberFormat="1" applyFont="1" applyBorder="1" applyAlignment="1">
      <alignment/>
    </xf>
    <xf numFmtId="0" fontId="15" fillId="0" borderId="75" xfId="0" applyFont="1" applyBorder="1" applyAlignment="1">
      <alignment/>
    </xf>
    <xf numFmtId="1" fontId="9" fillId="0" borderId="0" xfId="0" applyNumberFormat="1" applyFont="1" applyBorder="1" applyAlignment="1">
      <alignment horizontal="right"/>
    </xf>
    <xf numFmtId="9" fontId="9" fillId="3" borderId="36" xfId="0" applyNumberFormat="1" applyFont="1" applyFill="1" applyBorder="1" applyAlignment="1">
      <alignment/>
    </xf>
    <xf numFmtId="40" fontId="9" fillId="0" borderId="38" xfId="15" applyFont="1" applyBorder="1" applyAlignment="1">
      <alignment/>
    </xf>
    <xf numFmtId="40" fontId="9" fillId="0" borderId="6" xfId="15" applyFont="1" applyBorder="1" applyAlignment="1">
      <alignment horizontal="center"/>
    </xf>
    <xf numFmtId="0" fontId="9" fillId="0" borderId="19" xfId="0" applyFont="1" applyBorder="1" applyAlignment="1">
      <alignment/>
    </xf>
    <xf numFmtId="0" fontId="9" fillId="0" borderId="67" xfId="0" applyFont="1" applyBorder="1" applyAlignment="1">
      <alignment/>
    </xf>
    <xf numFmtId="0" fontId="15" fillId="0" borderId="72" xfId="0" applyFont="1" applyBorder="1" applyAlignment="1">
      <alignment/>
    </xf>
    <xf numFmtId="0" fontId="15" fillId="0" borderId="68" xfId="0" applyFont="1" applyBorder="1" applyAlignment="1">
      <alignment/>
    </xf>
    <xf numFmtId="1" fontId="27" fillId="0" borderId="60" xfId="0" applyNumberFormat="1" applyFont="1" applyBorder="1" applyAlignment="1">
      <alignment/>
    </xf>
    <xf numFmtId="9" fontId="9" fillId="2" borderId="0" xfId="0" applyNumberFormat="1" applyFont="1" applyFill="1" applyBorder="1" applyAlignment="1">
      <alignment/>
    </xf>
    <xf numFmtId="164" fontId="11" fillId="2" borderId="59" xfId="0" applyNumberFormat="1" applyFont="1" applyFill="1" applyBorder="1" applyAlignment="1">
      <alignment horizontal="center"/>
    </xf>
    <xf numFmtId="0" fontId="9" fillId="2" borderId="60" xfId="0" applyFont="1" applyFill="1" applyBorder="1" applyAlignment="1">
      <alignment/>
    </xf>
    <xf numFmtId="0" fontId="9" fillId="2" borderId="61" xfId="0" applyFont="1" applyFill="1" applyBorder="1" applyAlignment="1">
      <alignment/>
    </xf>
    <xf numFmtId="3" fontId="9" fillId="2" borderId="0" xfId="0" applyNumberFormat="1" applyFont="1" applyFill="1" applyBorder="1" applyAlignment="1">
      <alignment/>
    </xf>
    <xf numFmtId="2" fontId="9" fillId="2" borderId="0" xfId="0" applyNumberFormat="1" applyFont="1" applyFill="1" applyBorder="1" applyAlignment="1">
      <alignment horizontal="center"/>
    </xf>
    <xf numFmtId="0" fontId="34" fillId="6" borderId="21" xfId="0" applyFont="1" applyFill="1" applyBorder="1" applyAlignment="1">
      <alignment/>
    </xf>
    <xf numFmtId="0" fontId="17" fillId="6" borderId="25" xfId="0" applyFont="1" applyFill="1" applyBorder="1" applyAlignment="1">
      <alignment horizontal="center"/>
    </xf>
    <xf numFmtId="0" fontId="9" fillId="6" borderId="25" xfId="0" applyFont="1" applyFill="1" applyBorder="1" applyAlignment="1">
      <alignment/>
    </xf>
    <xf numFmtId="0" fontId="17" fillId="6" borderId="25" xfId="0" applyFont="1" applyFill="1" applyBorder="1" applyAlignment="1">
      <alignment/>
    </xf>
    <xf numFmtId="0" fontId="15" fillId="6" borderId="25" xfId="0" applyFont="1" applyFill="1" applyBorder="1" applyAlignment="1">
      <alignment/>
    </xf>
    <xf numFmtId="0" fontId="9" fillId="6" borderId="22" xfId="0" applyFont="1" applyFill="1" applyBorder="1" applyAlignment="1">
      <alignment/>
    </xf>
    <xf numFmtId="0" fontId="34" fillId="6" borderId="30" xfId="0" applyFont="1" applyFill="1" applyBorder="1" applyAlignment="1">
      <alignment/>
    </xf>
    <xf numFmtId="0" fontId="17" fillId="6" borderId="0" xfId="0" applyFont="1" applyFill="1" applyBorder="1" applyAlignment="1">
      <alignment horizontal="center"/>
    </xf>
    <xf numFmtId="0" fontId="9" fillId="6" borderId="0" xfId="0" applyFont="1" applyFill="1" applyBorder="1" applyAlignment="1">
      <alignment/>
    </xf>
    <xf numFmtId="0" fontId="17" fillId="6" borderId="0" xfId="0" applyFont="1" applyFill="1" applyBorder="1" applyAlignment="1">
      <alignment/>
    </xf>
    <xf numFmtId="0" fontId="15" fillId="6" borderId="0" xfId="0" applyFont="1" applyFill="1" applyBorder="1" applyAlignment="1">
      <alignment/>
    </xf>
    <xf numFmtId="0" fontId="9" fillId="6" borderId="31" xfId="0" applyFont="1" applyFill="1" applyBorder="1" applyAlignment="1">
      <alignment/>
    </xf>
    <xf numFmtId="0" fontId="35" fillId="6" borderId="30" xfId="0" applyFont="1" applyFill="1" applyBorder="1" applyAlignment="1">
      <alignment horizontal="right"/>
    </xf>
    <xf numFmtId="164" fontId="35" fillId="7" borderId="0" xfId="0" applyNumberFormat="1" applyFont="1" applyFill="1" applyBorder="1" applyAlignment="1" quotePrefix="1">
      <alignment horizontal="center"/>
    </xf>
    <xf numFmtId="0" fontId="35" fillId="6" borderId="0" xfId="0" applyFont="1" applyFill="1" applyBorder="1" applyAlignment="1" quotePrefix="1">
      <alignment horizontal="left"/>
    </xf>
    <xf numFmtId="0" fontId="0" fillId="6" borderId="0" xfId="0" applyFill="1" applyBorder="1" applyAlignment="1">
      <alignment/>
    </xf>
    <xf numFmtId="0" fontId="0" fillId="6" borderId="30" xfId="0" applyFill="1" applyBorder="1" applyAlignment="1">
      <alignment horizontal="right"/>
    </xf>
    <xf numFmtId="0" fontId="36" fillId="6" borderId="30" xfId="0" applyFont="1" applyFill="1" applyBorder="1" applyAlignment="1" quotePrefix="1">
      <alignment horizontal="right"/>
    </xf>
    <xf numFmtId="0" fontId="0" fillId="6" borderId="26" xfId="0" applyFill="1" applyBorder="1" applyAlignment="1">
      <alignment/>
    </xf>
    <xf numFmtId="0" fontId="0" fillId="6" borderId="33" xfId="0" applyFill="1" applyBorder="1" applyAlignment="1">
      <alignment/>
    </xf>
    <xf numFmtId="0" fontId="9" fillId="6" borderId="33" xfId="0" applyFont="1" applyFill="1" applyBorder="1" applyAlignment="1">
      <alignment/>
    </xf>
    <xf numFmtId="0" fontId="15" fillId="6" borderId="33" xfId="0" applyFont="1" applyFill="1" applyBorder="1" applyAlignment="1">
      <alignment/>
    </xf>
    <xf numFmtId="0" fontId="9" fillId="6" borderId="27" xfId="0" applyFont="1" applyFill="1" applyBorder="1" applyAlignment="1">
      <alignment/>
    </xf>
    <xf numFmtId="0" fontId="17" fillId="2" borderId="0" xfId="0" applyFont="1" applyFill="1" applyBorder="1" applyAlignment="1">
      <alignment horizontal="center"/>
    </xf>
    <xf numFmtId="0" fontId="31" fillId="4" borderId="21" xfId="0" applyFont="1" applyFill="1" applyBorder="1" applyAlignment="1">
      <alignment horizontal="left"/>
    </xf>
    <xf numFmtId="0" fontId="9" fillId="4" borderId="25" xfId="0" applyFont="1" applyFill="1" applyBorder="1" applyAlignment="1">
      <alignment horizontal="center"/>
    </xf>
    <xf numFmtId="0" fontId="0" fillId="4" borderId="25" xfId="0" applyFill="1" applyBorder="1" applyAlignment="1">
      <alignment/>
    </xf>
    <xf numFmtId="0" fontId="17" fillId="4" borderId="25" xfId="0" applyFont="1" applyFill="1" applyBorder="1" applyAlignment="1">
      <alignment/>
    </xf>
    <xf numFmtId="0" fontId="9" fillId="4" borderId="25" xfId="0" applyFont="1" applyFill="1" applyBorder="1" applyAlignment="1">
      <alignment/>
    </xf>
    <xf numFmtId="0" fontId="9" fillId="4" borderId="22" xfId="0" applyFont="1" applyFill="1" applyBorder="1" applyAlignment="1">
      <alignment/>
    </xf>
    <xf numFmtId="2" fontId="11" fillId="4" borderId="21" xfId="0" applyNumberFormat="1" applyFont="1" applyFill="1" applyBorder="1" applyAlignment="1">
      <alignment horizontal="center"/>
    </xf>
    <xf numFmtId="0" fontId="15" fillId="4" borderId="25" xfId="0" applyFont="1" applyFill="1" applyBorder="1" applyAlignment="1">
      <alignment horizontal="center"/>
    </xf>
    <xf numFmtId="0" fontId="9" fillId="4" borderId="30" xfId="0" applyFont="1" applyFill="1" applyBorder="1" applyAlignment="1">
      <alignment horizontal="left"/>
    </xf>
    <xf numFmtId="0" fontId="9" fillId="4" borderId="0" xfId="0" applyFont="1" applyFill="1" applyBorder="1" applyAlignment="1">
      <alignment horizontal="center"/>
    </xf>
    <xf numFmtId="0" fontId="0" fillId="4" borderId="0" xfId="0" applyFill="1" applyBorder="1" applyAlignment="1">
      <alignment/>
    </xf>
    <xf numFmtId="0" fontId="17" fillId="4" borderId="0" xfId="0" applyFont="1" applyFill="1" applyBorder="1" applyAlignment="1">
      <alignment/>
    </xf>
    <xf numFmtId="0" fontId="9" fillId="4" borderId="0" xfId="0" applyFont="1" applyFill="1" applyBorder="1" applyAlignment="1">
      <alignment/>
    </xf>
    <xf numFmtId="0" fontId="9" fillId="4" borderId="31" xfId="0" applyFont="1" applyFill="1" applyBorder="1" applyAlignment="1">
      <alignment horizontal="right"/>
    </xf>
    <xf numFmtId="0" fontId="9" fillId="4" borderId="30" xfId="0" applyFont="1" applyFill="1" applyBorder="1" applyAlignment="1">
      <alignment/>
    </xf>
    <xf numFmtId="0" fontId="9" fillId="4" borderId="0" xfId="0" applyFont="1" applyFill="1" applyAlignment="1">
      <alignment horizontal="center"/>
    </xf>
    <xf numFmtId="0" fontId="9" fillId="4" borderId="31" xfId="0" applyFont="1" applyFill="1" applyBorder="1" applyAlignment="1">
      <alignment/>
    </xf>
    <xf numFmtId="0" fontId="15" fillId="4" borderId="78" xfId="0" applyFont="1" applyFill="1" applyBorder="1" applyAlignment="1">
      <alignment/>
    </xf>
    <xf numFmtId="0" fontId="15" fillId="4" borderId="2" xfId="0" applyFont="1" applyFill="1" applyBorder="1" applyAlignment="1">
      <alignment horizontal="center"/>
    </xf>
    <xf numFmtId="0" fontId="15" fillId="4" borderId="79" xfId="0" applyFont="1" applyFill="1" applyBorder="1" applyAlignment="1">
      <alignment horizontal="center"/>
    </xf>
    <xf numFmtId="0" fontId="15" fillId="4" borderId="1" xfId="0" applyFont="1" applyFill="1" applyBorder="1" applyAlignment="1">
      <alignment horizontal="center"/>
    </xf>
    <xf numFmtId="0" fontId="15" fillId="2" borderId="80" xfId="0" applyFont="1" applyFill="1" applyBorder="1" applyAlignment="1">
      <alignment horizontal="center"/>
    </xf>
    <xf numFmtId="2" fontId="11" fillId="4" borderId="81" xfId="0" applyNumberFormat="1" applyFont="1" applyFill="1" applyBorder="1" applyAlignment="1">
      <alignment horizontal="center"/>
    </xf>
    <xf numFmtId="0" fontId="9" fillId="4" borderId="82" xfId="0" applyFont="1" applyFill="1" applyBorder="1" applyAlignment="1">
      <alignment horizontal="center"/>
    </xf>
    <xf numFmtId="0" fontId="9" fillId="4" borderId="83" xfId="0" applyFont="1" applyFill="1" applyBorder="1" applyAlignment="1">
      <alignment horizontal="center"/>
    </xf>
    <xf numFmtId="0" fontId="15" fillId="4" borderId="30" xfId="0" applyFont="1" applyFill="1" applyBorder="1" applyAlignment="1">
      <alignment/>
    </xf>
    <xf numFmtId="0" fontId="15" fillId="4" borderId="0" xfId="0" applyFont="1" applyFill="1" applyBorder="1" applyAlignment="1">
      <alignment horizontal="center"/>
    </xf>
    <xf numFmtId="0" fontId="15" fillId="4" borderId="84" xfId="0" applyFont="1" applyFill="1" applyBorder="1" applyAlignment="1">
      <alignment horizontal="center"/>
    </xf>
    <xf numFmtId="0" fontId="15" fillId="4" borderId="4" xfId="0" applyFont="1" applyFill="1" applyBorder="1" applyAlignment="1">
      <alignment horizontal="center"/>
    </xf>
    <xf numFmtId="2" fontId="37" fillId="4" borderId="85" xfId="0" applyNumberFormat="1" applyFont="1" applyFill="1" applyBorder="1" applyAlignment="1">
      <alignment horizontal="center"/>
    </xf>
    <xf numFmtId="3" fontId="9" fillId="4" borderId="86" xfId="0" applyNumberFormat="1" applyFont="1" applyFill="1" applyBorder="1" applyAlignment="1">
      <alignment/>
    </xf>
    <xf numFmtId="0" fontId="15" fillId="2" borderId="80" xfId="0" applyFont="1" applyFill="1" applyBorder="1" applyAlignment="1">
      <alignment/>
    </xf>
    <xf numFmtId="2" fontId="37" fillId="4" borderId="87" xfId="0" applyNumberFormat="1" applyFont="1" applyFill="1" applyBorder="1" applyAlignment="1">
      <alignment horizontal="center"/>
    </xf>
    <xf numFmtId="3" fontId="9" fillId="4" borderId="66" xfId="0" applyNumberFormat="1" applyFont="1" applyFill="1" applyBorder="1" applyAlignment="1">
      <alignment/>
    </xf>
    <xf numFmtId="0" fontId="9" fillId="4" borderId="78" xfId="0" applyFont="1" applyFill="1" applyBorder="1" applyAlignment="1">
      <alignment/>
    </xf>
    <xf numFmtId="0" fontId="9" fillId="4" borderId="2" xfId="0" applyFont="1" applyFill="1" applyBorder="1" applyAlignment="1">
      <alignment horizontal="center"/>
    </xf>
    <xf numFmtId="3" fontId="9" fillId="4" borderId="88" xfId="0" applyNumberFormat="1" applyFont="1" applyFill="1" applyBorder="1" applyAlignment="1">
      <alignment/>
    </xf>
    <xf numFmtId="3" fontId="9" fillId="4" borderId="89" xfId="0" applyNumberFormat="1" applyFont="1" applyFill="1" applyBorder="1" applyAlignment="1">
      <alignment/>
    </xf>
    <xf numFmtId="3" fontId="15" fillId="4" borderId="90" xfId="0" applyNumberFormat="1" applyFont="1" applyFill="1" applyBorder="1" applyAlignment="1">
      <alignment/>
    </xf>
    <xf numFmtId="164" fontId="9" fillId="2" borderId="0" xfId="0" applyNumberFormat="1" applyFont="1" applyFill="1" applyBorder="1" applyAlignment="1">
      <alignment horizontal="center"/>
    </xf>
    <xf numFmtId="2" fontId="11" fillId="4" borderId="85" xfId="0" applyNumberFormat="1" applyFont="1" applyFill="1" applyBorder="1" applyAlignment="1">
      <alignment horizontal="center"/>
    </xf>
    <xf numFmtId="0" fontId="9" fillId="4" borderId="34" xfId="0" applyFont="1" applyFill="1" applyBorder="1" applyAlignment="1">
      <alignment/>
    </xf>
    <xf numFmtId="0" fontId="9" fillId="4" borderId="15" xfId="0" applyFont="1" applyFill="1" applyBorder="1" applyAlignment="1">
      <alignment horizontal="center"/>
    </xf>
    <xf numFmtId="3" fontId="9" fillId="4" borderId="14" xfId="0" applyNumberFormat="1" applyFont="1" applyFill="1" applyBorder="1" applyAlignment="1">
      <alignment/>
    </xf>
    <xf numFmtId="3" fontId="15" fillId="4" borderId="91" xfId="0" applyNumberFormat="1" applyFont="1" applyFill="1" applyBorder="1" applyAlignment="1">
      <alignment/>
    </xf>
    <xf numFmtId="2" fontId="11" fillId="4" borderId="92" xfId="0" applyNumberFormat="1" applyFont="1" applyFill="1" applyBorder="1" applyAlignment="1">
      <alignment horizontal="center"/>
    </xf>
    <xf numFmtId="0" fontId="9" fillId="4" borderId="93" xfId="0" applyFont="1" applyFill="1" applyBorder="1" applyAlignment="1">
      <alignment/>
    </xf>
    <xf numFmtId="0" fontId="9" fillId="4" borderId="94" xfId="0" applyFont="1" applyFill="1" applyBorder="1" applyAlignment="1">
      <alignment/>
    </xf>
    <xf numFmtId="0" fontId="9" fillId="4" borderId="65" xfId="0" applyFont="1" applyFill="1" applyBorder="1" applyAlignment="1">
      <alignment/>
    </xf>
    <xf numFmtId="0" fontId="9" fillId="4" borderId="12" xfId="0" applyFont="1" applyFill="1" applyBorder="1" applyAlignment="1">
      <alignment horizontal="center"/>
    </xf>
    <xf numFmtId="38" fontId="9" fillId="4" borderId="36" xfId="15" applyNumberFormat="1" applyFont="1" applyFill="1" applyBorder="1" applyAlignment="1">
      <alignment/>
    </xf>
    <xf numFmtId="0" fontId="9" fillId="4" borderId="95" xfId="0" applyFont="1" applyFill="1" applyBorder="1" applyAlignment="1">
      <alignment/>
    </xf>
    <xf numFmtId="0" fontId="9" fillId="4" borderId="18" xfId="0" applyFont="1" applyFill="1" applyBorder="1" applyAlignment="1">
      <alignment horizontal="center"/>
    </xf>
    <xf numFmtId="3" fontId="9" fillId="4" borderId="96" xfId="0" applyNumberFormat="1" applyFont="1" applyFill="1" applyBorder="1" applyAlignment="1">
      <alignment/>
    </xf>
    <xf numFmtId="3" fontId="9" fillId="4" borderId="97" xfId="0" applyNumberFormat="1" applyFont="1" applyFill="1" applyBorder="1" applyAlignment="1">
      <alignment/>
    </xf>
    <xf numFmtId="3" fontId="15" fillId="4" borderId="98" xfId="0" applyNumberFormat="1" applyFont="1" applyFill="1" applyBorder="1" applyAlignment="1">
      <alignment/>
    </xf>
    <xf numFmtId="0" fontId="15" fillId="4" borderId="26" xfId="0" applyFont="1" applyFill="1" applyBorder="1" applyAlignment="1">
      <alignment horizontal="center"/>
    </xf>
    <xf numFmtId="0" fontId="15" fillId="4" borderId="33" xfId="0" applyFont="1" applyFill="1" applyBorder="1" applyAlignment="1">
      <alignment horizontal="center"/>
    </xf>
    <xf numFmtId="3" fontId="15" fillId="4" borderId="77" xfId="0" applyNumberFormat="1" applyFont="1" applyFill="1" applyBorder="1" applyAlignment="1">
      <alignment/>
    </xf>
    <xf numFmtId="3" fontId="15" fillId="4" borderId="73" xfId="0" applyNumberFormat="1" applyFont="1" applyFill="1" applyBorder="1" applyAlignment="1">
      <alignment/>
    </xf>
    <xf numFmtId="3" fontId="15" fillId="4" borderId="99" xfId="0" applyNumberFormat="1" applyFont="1" applyFill="1" applyBorder="1" applyAlignment="1">
      <alignment/>
    </xf>
    <xf numFmtId="3" fontId="11" fillId="2" borderId="0" xfId="0" applyNumberFormat="1" applyFont="1" applyFill="1" applyBorder="1" applyAlignment="1">
      <alignment/>
    </xf>
    <xf numFmtId="2" fontId="9" fillId="2" borderId="0" xfId="0" applyNumberFormat="1" applyFont="1" applyFill="1" applyBorder="1" applyAlignment="1">
      <alignment/>
    </xf>
    <xf numFmtId="166" fontId="9" fillId="2" borderId="0" xfId="0" applyNumberFormat="1" applyFont="1" applyFill="1" applyBorder="1" applyAlignment="1">
      <alignment/>
    </xf>
    <xf numFmtId="0" fontId="31" fillId="4" borderId="21" xfId="0" applyFont="1" applyFill="1" applyBorder="1" applyAlignment="1">
      <alignment/>
    </xf>
    <xf numFmtId="0" fontId="15" fillId="4" borderId="30" xfId="0" applyFont="1" applyFill="1" applyBorder="1" applyAlignment="1">
      <alignment/>
    </xf>
    <xf numFmtId="0" fontId="15" fillId="4" borderId="0" xfId="0" applyFont="1" applyFill="1" applyBorder="1" applyAlignment="1">
      <alignment horizontal="center"/>
    </xf>
    <xf numFmtId="0" fontId="15" fillId="4" borderId="0" xfId="0" applyFont="1" applyFill="1" applyBorder="1" applyAlignment="1">
      <alignment/>
    </xf>
    <xf numFmtId="0" fontId="9" fillId="4" borderId="31" xfId="0" applyFont="1" applyFill="1" applyBorder="1" applyAlignment="1">
      <alignment/>
    </xf>
    <xf numFmtId="0" fontId="0" fillId="2" borderId="0" xfId="0" applyFont="1" applyFill="1" applyAlignment="1">
      <alignment/>
    </xf>
    <xf numFmtId="0" fontId="15" fillId="4" borderId="90" xfId="0" applyFont="1" applyFill="1" applyBorder="1" applyAlignment="1">
      <alignment horizontal="center"/>
    </xf>
    <xf numFmtId="0" fontId="15" fillId="4" borderId="95" xfId="0" applyFont="1" applyFill="1" applyBorder="1" applyAlignment="1">
      <alignment/>
    </xf>
    <xf numFmtId="0" fontId="15" fillId="4" borderId="18" xfId="0" applyFont="1" applyFill="1" applyBorder="1" applyAlignment="1">
      <alignment horizontal="center"/>
    </xf>
    <xf numFmtId="0" fontId="15" fillId="4" borderId="100" xfId="0" applyFont="1" applyFill="1" applyBorder="1" applyAlignment="1">
      <alignment horizontal="center"/>
    </xf>
    <xf numFmtId="0" fontId="9" fillId="4" borderId="100" xfId="0" applyFont="1" applyFill="1" applyBorder="1" applyAlignment="1">
      <alignment horizontal="center"/>
    </xf>
    <xf numFmtId="0" fontId="15" fillId="4" borderId="101" xfId="0" applyFont="1" applyFill="1" applyBorder="1" applyAlignment="1">
      <alignment/>
    </xf>
    <xf numFmtId="0" fontId="9" fillId="4" borderId="0" xfId="0" applyFont="1" applyFill="1" applyBorder="1" applyAlignment="1">
      <alignment horizontal="center"/>
    </xf>
    <xf numFmtId="9" fontId="9" fillId="4" borderId="102" xfId="23" applyFont="1" applyFill="1" applyBorder="1" applyAlignment="1">
      <alignment horizontal="center"/>
    </xf>
    <xf numFmtId="9" fontId="9" fillId="4" borderId="11" xfId="23" applyFont="1" applyFill="1" applyBorder="1" applyAlignment="1">
      <alignment horizontal="center"/>
    </xf>
    <xf numFmtId="9" fontId="15" fillId="4" borderId="90" xfId="23" applyFont="1" applyFill="1" applyBorder="1" applyAlignment="1">
      <alignment horizontal="center"/>
    </xf>
    <xf numFmtId="9" fontId="9" fillId="4" borderId="36" xfId="23" applyFont="1" applyFill="1" applyBorder="1" applyAlignment="1">
      <alignment horizontal="center"/>
    </xf>
    <xf numFmtId="9" fontId="9" fillId="4" borderId="14" xfId="23" applyFont="1" applyFill="1" applyBorder="1" applyAlignment="1">
      <alignment horizontal="center"/>
    </xf>
    <xf numFmtId="9" fontId="15" fillId="4" borderId="91" xfId="23" applyFont="1" applyFill="1" applyBorder="1" applyAlignment="1">
      <alignment horizontal="center"/>
    </xf>
    <xf numFmtId="0" fontId="9" fillId="4" borderId="103" xfId="0" applyFont="1" applyFill="1" applyBorder="1" applyAlignment="1">
      <alignment/>
    </xf>
    <xf numFmtId="0" fontId="9" fillId="4" borderId="104" xfId="0" applyFont="1" applyFill="1" applyBorder="1" applyAlignment="1">
      <alignment horizontal="center"/>
    </xf>
    <xf numFmtId="9" fontId="9" fillId="4" borderId="19" xfId="23" applyFont="1" applyFill="1" applyBorder="1" applyAlignment="1">
      <alignment horizontal="center"/>
    </xf>
    <xf numFmtId="9" fontId="9" fillId="4" borderId="67" xfId="23" applyFont="1" applyFill="1" applyBorder="1" applyAlignment="1">
      <alignment horizontal="center"/>
    </xf>
    <xf numFmtId="9" fontId="15" fillId="4" borderId="98" xfId="23" applyFont="1" applyFill="1" applyBorder="1" applyAlignment="1">
      <alignment horizontal="center"/>
    </xf>
    <xf numFmtId="9" fontId="15" fillId="4" borderId="77" xfId="23" applyFont="1" applyFill="1" applyBorder="1" applyAlignment="1">
      <alignment horizontal="center"/>
    </xf>
    <xf numFmtId="9" fontId="15" fillId="4" borderId="73" xfId="23" applyFont="1" applyFill="1" applyBorder="1" applyAlignment="1">
      <alignment horizontal="center"/>
    </xf>
    <xf numFmtId="9" fontId="15" fillId="4" borderId="105" xfId="23" applyFont="1" applyFill="1" applyBorder="1" applyAlignment="1">
      <alignment horizontal="center"/>
    </xf>
    <xf numFmtId="0" fontId="38" fillId="8" borderId="0" xfId="0" applyFont="1" applyFill="1" applyAlignment="1">
      <alignment/>
    </xf>
    <xf numFmtId="0" fontId="39" fillId="8" borderId="0" xfId="0" applyFont="1" applyFill="1" applyAlignment="1">
      <alignment/>
    </xf>
    <xf numFmtId="0" fontId="9" fillId="9" borderId="14" xfId="0" applyFont="1" applyFill="1" applyBorder="1" applyAlignment="1">
      <alignment/>
    </xf>
    <xf numFmtId="0" fontId="15" fillId="2" borderId="14" xfId="0" applyFont="1" applyFill="1" applyBorder="1" applyAlignment="1">
      <alignment horizontal="left"/>
    </xf>
    <xf numFmtId="0" fontId="15" fillId="2" borderId="1" xfId="0" applyFont="1" applyFill="1" applyBorder="1" applyAlignment="1">
      <alignment/>
    </xf>
    <xf numFmtId="169" fontId="9" fillId="2" borderId="2" xfId="0" applyNumberFormat="1" applyFont="1" applyFill="1" applyBorder="1" applyAlignment="1">
      <alignment/>
    </xf>
    <xf numFmtId="169" fontId="9" fillId="2" borderId="0" xfId="0" applyNumberFormat="1" applyFont="1" applyFill="1" applyBorder="1" applyAlignment="1">
      <alignment/>
    </xf>
    <xf numFmtId="0" fontId="9" fillId="6" borderId="53" xfId="0" applyFont="1" applyFill="1" applyBorder="1" applyAlignment="1">
      <alignment/>
    </xf>
    <xf numFmtId="164" fontId="9" fillId="9" borderId="36" xfId="0" applyNumberFormat="1" applyFont="1" applyFill="1" applyBorder="1" applyAlignment="1">
      <alignment/>
    </xf>
    <xf numFmtId="0" fontId="9" fillId="6" borderId="35" xfId="0" applyFont="1" applyFill="1" applyBorder="1" applyAlignment="1">
      <alignment/>
    </xf>
    <xf numFmtId="0" fontId="6" fillId="6" borderId="53" xfId="22" applyFont="1" applyFill="1" applyBorder="1">
      <alignment/>
      <protection/>
    </xf>
    <xf numFmtId="0" fontId="10" fillId="6" borderId="53" xfId="0" applyFont="1" applyFill="1" applyBorder="1" applyAlignment="1">
      <alignment/>
    </xf>
    <xf numFmtId="0" fontId="9" fillId="6" borderId="53" xfId="0" applyFont="1" applyFill="1" applyBorder="1" applyAlignment="1">
      <alignment/>
    </xf>
    <xf numFmtId="169" fontId="9" fillId="9" borderId="36" xfId="0" applyNumberFormat="1" applyFont="1" applyFill="1" applyBorder="1" applyAlignment="1">
      <alignment/>
    </xf>
    <xf numFmtId="0" fontId="9" fillId="9" borderId="36" xfId="0" applyFont="1" applyFill="1" applyBorder="1" applyAlignment="1">
      <alignment/>
    </xf>
    <xf numFmtId="0" fontId="9" fillId="2" borderId="1" xfId="0" applyFont="1" applyFill="1" applyBorder="1" applyAlignment="1">
      <alignment/>
    </xf>
    <xf numFmtId="164" fontId="9" fillId="2" borderId="2" xfId="0" applyNumberFormat="1" applyFont="1" applyFill="1" applyBorder="1" applyAlignment="1">
      <alignment/>
    </xf>
    <xf numFmtId="0" fontId="9" fillId="2" borderId="106" xfId="0" applyFont="1" applyFill="1" applyBorder="1" applyAlignment="1">
      <alignment/>
    </xf>
    <xf numFmtId="169" fontId="9" fillId="2" borderId="12" xfId="0" applyNumberFormat="1" applyFont="1" applyFill="1" applyBorder="1" applyAlignment="1">
      <alignment/>
    </xf>
    <xf numFmtId="0" fontId="9" fillId="2" borderId="107" xfId="0" applyFont="1" applyFill="1" applyBorder="1" applyAlignment="1">
      <alignment/>
    </xf>
    <xf numFmtId="169" fontId="9" fillId="6" borderId="72" xfId="0" applyNumberFormat="1" applyFont="1" applyFill="1" applyBorder="1" applyAlignment="1">
      <alignment/>
    </xf>
    <xf numFmtId="38" fontId="9" fillId="9" borderId="19" xfId="15" applyNumberFormat="1" applyFont="1" applyFill="1" applyBorder="1" applyAlignment="1">
      <alignment/>
    </xf>
    <xf numFmtId="169" fontId="9" fillId="9" borderId="19" xfId="0" applyNumberFormat="1" applyFont="1" applyFill="1" applyBorder="1" applyAlignment="1">
      <alignment/>
    </xf>
    <xf numFmtId="0" fontId="9" fillId="6" borderId="43" xfId="0" applyFont="1" applyFill="1" applyBorder="1" applyAlignment="1">
      <alignment/>
    </xf>
    <xf numFmtId="0" fontId="1" fillId="2" borderId="1" xfId="0" applyFont="1" applyFill="1" applyBorder="1" applyAlignment="1">
      <alignment/>
    </xf>
    <xf numFmtId="0" fontId="0" fillId="2" borderId="3" xfId="0" applyFill="1" applyBorder="1" applyAlignment="1">
      <alignment/>
    </xf>
    <xf numFmtId="0" fontId="9" fillId="6" borderId="75" xfId="0" applyFont="1" applyFill="1" applyBorder="1" applyAlignment="1">
      <alignment/>
    </xf>
    <xf numFmtId="0" fontId="9" fillId="6" borderId="6" xfId="0" applyFont="1" applyFill="1" applyBorder="1" applyAlignment="1">
      <alignment/>
    </xf>
    <xf numFmtId="2" fontId="0" fillId="6" borderId="39" xfId="0" applyNumberFormat="1" applyFill="1" applyBorder="1" applyAlignment="1">
      <alignment horizontal="center"/>
    </xf>
    <xf numFmtId="0" fontId="9" fillId="6" borderId="4" xfId="0" applyFont="1" applyFill="1" applyBorder="1" applyAlignment="1">
      <alignment/>
    </xf>
    <xf numFmtId="169" fontId="9" fillId="2" borderId="0" xfId="0" applyNumberFormat="1" applyFont="1" applyFill="1" applyAlignment="1">
      <alignment/>
    </xf>
    <xf numFmtId="166" fontId="0" fillId="6" borderId="108" xfId="0" applyNumberFormat="1" applyFont="1" applyFill="1" applyBorder="1" applyAlignment="1">
      <alignment horizontal="center"/>
    </xf>
    <xf numFmtId="166" fontId="0" fillId="6" borderId="108" xfId="0" applyNumberFormat="1" applyFill="1" applyBorder="1" applyAlignment="1">
      <alignment horizontal="center"/>
    </xf>
    <xf numFmtId="0" fontId="0" fillId="6" borderId="4" xfId="0" applyFill="1" applyBorder="1" applyAlignment="1">
      <alignment/>
    </xf>
    <xf numFmtId="2" fontId="0" fillId="6" borderId="108" xfId="0" applyNumberFormat="1" applyFill="1" applyBorder="1" applyAlignment="1">
      <alignment horizontal="center"/>
    </xf>
    <xf numFmtId="0" fontId="9" fillId="6" borderId="12" xfId="0" applyFont="1" applyFill="1" applyBorder="1" applyAlignment="1">
      <alignment/>
    </xf>
    <xf numFmtId="2" fontId="0" fillId="6" borderId="109" xfId="0" applyNumberFormat="1" applyFill="1" applyBorder="1" applyAlignment="1">
      <alignment horizontal="center"/>
    </xf>
    <xf numFmtId="0" fontId="0" fillId="6" borderId="75" xfId="0" applyFill="1" applyBorder="1" applyAlignment="1">
      <alignment/>
    </xf>
    <xf numFmtId="0" fontId="0" fillId="6" borderId="108" xfId="0" applyFill="1" applyBorder="1" applyAlignment="1">
      <alignment horizontal="center"/>
    </xf>
    <xf numFmtId="164" fontId="0" fillId="6" borderId="108" xfId="0" applyNumberFormat="1" applyFill="1" applyBorder="1" applyAlignment="1">
      <alignment horizontal="center"/>
    </xf>
    <xf numFmtId="0" fontId="9" fillId="6" borderId="0" xfId="0" applyFont="1" applyFill="1" applyBorder="1" applyAlignment="1">
      <alignment horizontal="center"/>
    </xf>
    <xf numFmtId="170" fontId="9" fillId="6" borderId="108" xfId="0" applyNumberFormat="1" applyFont="1" applyFill="1" applyBorder="1" applyAlignment="1">
      <alignment horizontal="center"/>
    </xf>
    <xf numFmtId="0" fontId="9" fillId="6" borderId="17" xfId="0" applyFont="1" applyFill="1" applyBorder="1" applyAlignment="1">
      <alignment/>
    </xf>
    <xf numFmtId="0" fontId="9" fillId="6" borderId="18" xfId="0" applyFont="1" applyFill="1" applyBorder="1" applyAlignment="1">
      <alignment horizontal="center"/>
    </xf>
    <xf numFmtId="170" fontId="9" fillId="6" borderId="110" xfId="0" applyNumberFormat="1" applyFont="1" applyFill="1" applyBorder="1" applyAlignment="1">
      <alignment horizontal="center"/>
    </xf>
    <xf numFmtId="0" fontId="15" fillId="2" borderId="111" xfId="21" applyFont="1" applyFill="1" applyBorder="1" applyAlignment="1">
      <alignment horizontal="center"/>
      <protection/>
    </xf>
    <xf numFmtId="3" fontId="15" fillId="2" borderId="112" xfId="0" applyNumberFormat="1" applyFont="1" applyFill="1" applyBorder="1" applyAlignment="1">
      <alignment horizontal="center"/>
    </xf>
    <xf numFmtId="0" fontId="15" fillId="2" borderId="4" xfId="0" applyFont="1" applyFill="1" applyBorder="1" applyAlignment="1">
      <alignment/>
    </xf>
    <xf numFmtId="0" fontId="15" fillId="2" borderId="113" xfId="0" applyFont="1" applyFill="1" applyBorder="1" applyAlignment="1">
      <alignment horizontal="center"/>
    </xf>
    <xf numFmtId="3" fontId="15" fillId="2" borderId="108" xfId="0" applyNumberFormat="1" applyFont="1" applyFill="1" applyBorder="1" applyAlignment="1">
      <alignment horizontal="center"/>
    </xf>
    <xf numFmtId="0" fontId="9" fillId="2" borderId="102" xfId="0" applyFont="1" applyFill="1" applyBorder="1" applyAlignment="1">
      <alignment horizontal="center"/>
    </xf>
    <xf numFmtId="0" fontId="9" fillId="2" borderId="109" xfId="0" applyFont="1" applyFill="1" applyBorder="1" applyAlignment="1">
      <alignment horizontal="center"/>
    </xf>
    <xf numFmtId="0" fontId="9" fillId="6" borderId="75" xfId="0" applyFont="1" applyFill="1" applyBorder="1" applyAlignment="1">
      <alignment/>
    </xf>
    <xf numFmtId="164" fontId="9" fillId="9" borderId="40" xfId="0" applyNumberFormat="1" applyFont="1" applyFill="1" applyBorder="1" applyAlignment="1">
      <alignment horizontal="center"/>
    </xf>
    <xf numFmtId="3" fontId="9" fillId="6" borderId="39" xfId="0" applyNumberFormat="1" applyFont="1" applyFill="1" applyBorder="1" applyAlignment="1">
      <alignment horizontal="center"/>
    </xf>
    <xf numFmtId="0" fontId="9" fillId="6" borderId="4" xfId="0" applyFont="1" applyFill="1" applyBorder="1" applyAlignment="1">
      <alignment/>
    </xf>
    <xf numFmtId="164" fontId="9" fillId="9" borderId="113" xfId="0" applyNumberFormat="1" applyFont="1" applyFill="1" applyBorder="1" applyAlignment="1">
      <alignment horizontal="center"/>
    </xf>
    <xf numFmtId="3" fontId="9" fillId="6" borderId="108" xfId="0" applyNumberFormat="1" applyFont="1" applyFill="1" applyBorder="1" applyAlignment="1">
      <alignment horizontal="center"/>
    </xf>
    <xf numFmtId="164" fontId="9" fillId="9" borderId="96" xfId="0" applyNumberFormat="1" applyFont="1" applyFill="1" applyBorder="1" applyAlignment="1">
      <alignment horizontal="center"/>
    </xf>
    <xf numFmtId="0" fontId="15" fillId="6" borderId="114" xfId="0" applyFont="1" applyFill="1" applyBorder="1" applyAlignment="1">
      <alignment/>
    </xf>
    <xf numFmtId="0" fontId="9" fillId="6" borderId="115" xfId="0" applyFont="1" applyFill="1" applyBorder="1" applyAlignment="1">
      <alignment horizontal="center"/>
    </xf>
    <xf numFmtId="3" fontId="9" fillId="6" borderId="116" xfId="0" applyNumberFormat="1" applyFont="1" applyFill="1" applyBorder="1" applyAlignment="1">
      <alignment horizontal="center"/>
    </xf>
    <xf numFmtId="0" fontId="15" fillId="2" borderId="21" xfId="0" applyFont="1" applyFill="1" applyBorder="1" applyAlignment="1">
      <alignment/>
    </xf>
    <xf numFmtId="0" fontId="9" fillId="2" borderId="25" xfId="0" applyFont="1" applyFill="1" applyBorder="1" applyAlignment="1">
      <alignment horizontal="center"/>
    </xf>
    <xf numFmtId="0" fontId="15" fillId="2" borderId="117" xfId="0" applyFont="1" applyFill="1" applyBorder="1" applyAlignment="1">
      <alignment horizontal="center"/>
    </xf>
    <xf numFmtId="0" fontId="15" fillId="2" borderId="118" xfId="0" applyFont="1" applyFill="1" applyBorder="1" applyAlignment="1">
      <alignment horizontal="center"/>
    </xf>
    <xf numFmtId="0" fontId="15" fillId="2" borderId="119" xfId="0" applyFont="1" applyFill="1" applyBorder="1" applyAlignment="1">
      <alignment horizontal="center"/>
    </xf>
    <xf numFmtId="0" fontId="15" fillId="2" borderId="30" xfId="0" applyFont="1" applyFill="1" applyBorder="1" applyAlignment="1">
      <alignment/>
    </xf>
    <xf numFmtId="0" fontId="15" fillId="2" borderId="102" xfId="0" applyFont="1" applyFill="1" applyBorder="1" applyAlignment="1">
      <alignment horizontal="center"/>
    </xf>
    <xf numFmtId="0" fontId="15" fillId="2" borderId="10" xfId="0" applyFont="1" applyFill="1" applyBorder="1" applyAlignment="1">
      <alignment horizontal="center"/>
    </xf>
    <xf numFmtId="0" fontId="15" fillId="2" borderId="86" xfId="0" applyFont="1" applyFill="1" applyBorder="1" applyAlignment="1">
      <alignment horizontal="center"/>
    </xf>
    <xf numFmtId="0" fontId="9" fillId="6" borderId="34" xfId="0" applyFont="1" applyFill="1" applyBorder="1" applyAlignment="1">
      <alignment/>
    </xf>
    <xf numFmtId="0" fontId="9" fillId="6" borderId="16" xfId="0" applyFont="1" applyFill="1" applyBorder="1" applyAlignment="1">
      <alignment horizontal="center"/>
    </xf>
    <xf numFmtId="2" fontId="9" fillId="9" borderId="36" xfId="0" applyNumberFormat="1" applyFont="1" applyFill="1" applyBorder="1" applyAlignment="1">
      <alignment horizontal="center"/>
    </xf>
    <xf numFmtId="2" fontId="9" fillId="9" borderId="66" xfId="0" applyNumberFormat="1" applyFont="1" applyFill="1" applyBorder="1" applyAlignment="1">
      <alignment horizontal="center"/>
    </xf>
    <xf numFmtId="0" fontId="9" fillId="6" borderId="15" xfId="0" applyFont="1" applyFill="1" applyBorder="1" applyAlignment="1">
      <alignment horizontal="center"/>
    </xf>
    <xf numFmtId="0" fontId="9" fillId="6" borderId="65" xfId="0" applyFont="1" applyFill="1" applyBorder="1" applyAlignment="1">
      <alignment/>
    </xf>
    <xf numFmtId="0" fontId="9" fillId="6" borderId="12" xfId="0" applyFont="1" applyFill="1" applyBorder="1" applyAlignment="1">
      <alignment horizontal="center"/>
    </xf>
    <xf numFmtId="2" fontId="9" fillId="9" borderId="36" xfId="15" applyNumberFormat="1" applyFont="1" applyFill="1" applyBorder="1" applyAlignment="1">
      <alignment horizontal="center"/>
    </xf>
    <xf numFmtId="0" fontId="9" fillId="6" borderId="30" xfId="0" applyFont="1" applyFill="1" applyBorder="1" applyAlignment="1">
      <alignment/>
    </xf>
    <xf numFmtId="2" fontId="9" fillId="9" borderId="113" xfId="0" applyNumberFormat="1" applyFont="1" applyFill="1" applyBorder="1" applyAlignment="1">
      <alignment horizontal="center"/>
    </xf>
    <xf numFmtId="2" fontId="9" fillId="9" borderId="86" xfId="0" applyNumberFormat="1" applyFont="1" applyFill="1" applyBorder="1" applyAlignment="1">
      <alignment horizontal="center"/>
    </xf>
    <xf numFmtId="0" fontId="9" fillId="6" borderId="54" xfId="0" applyFont="1" applyFill="1" applyBorder="1" applyAlignment="1">
      <alignment/>
    </xf>
    <xf numFmtId="0" fontId="9" fillId="6" borderId="46" xfId="0" applyFont="1" applyFill="1" applyBorder="1" applyAlignment="1">
      <alignment horizontal="right"/>
    </xf>
    <xf numFmtId="1" fontId="9" fillId="9" borderId="50" xfId="0" applyNumberFormat="1" applyFont="1" applyFill="1" applyBorder="1" applyAlignment="1">
      <alignment horizontal="center"/>
    </xf>
    <xf numFmtId="1" fontId="9" fillId="6" borderId="46" xfId="0" applyNumberFormat="1" applyFont="1" applyFill="1" applyBorder="1" applyAlignment="1">
      <alignment horizontal="right"/>
    </xf>
    <xf numFmtId="2" fontId="9" fillId="6" borderId="120" xfId="0" applyNumberFormat="1" applyFont="1" applyFill="1" applyBorder="1" applyAlignment="1">
      <alignment horizontal="center"/>
    </xf>
    <xf numFmtId="9" fontId="0" fillId="6" borderId="108" xfId="23" applyFill="1" applyBorder="1" applyAlignment="1">
      <alignment horizontal="center"/>
    </xf>
    <xf numFmtId="0" fontId="11" fillId="2" borderId="4" xfId="0" applyFont="1" applyFill="1" applyBorder="1" applyAlignment="1">
      <alignment vertical="top" wrapText="1"/>
    </xf>
    <xf numFmtId="0" fontId="0" fillId="2" borderId="0" xfId="0" applyFill="1" applyAlignment="1">
      <alignment vertical="top" wrapText="1"/>
    </xf>
    <xf numFmtId="0" fontId="0" fillId="2" borderId="8" xfId="0" applyFill="1" applyBorder="1" applyAlignment="1">
      <alignment vertical="top" wrapText="1"/>
    </xf>
    <xf numFmtId="0" fontId="0" fillId="2" borderId="4" xfId="0"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EF-SWE94.XLS" xfId="21"/>
    <cellStyle name="Normal_Per Capita Consumption Profile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193</xdr:row>
      <xdr:rowOff>0</xdr:rowOff>
    </xdr:from>
    <xdr:to>
      <xdr:col>14</xdr:col>
      <xdr:colOff>38100</xdr:colOff>
      <xdr:row>202</xdr:row>
      <xdr:rowOff>0</xdr:rowOff>
    </xdr:to>
    <xdr:sp>
      <xdr:nvSpPr>
        <xdr:cNvPr id="1" name="Text 1"/>
        <xdr:cNvSpPr txBox="1">
          <a:spLocks noChangeArrowheads="1"/>
        </xdr:cNvSpPr>
      </xdr:nvSpPr>
      <xdr:spPr>
        <a:xfrm>
          <a:off x="266700" y="34728150"/>
          <a:ext cx="12639675" cy="158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 </a:t>
          </a:r>
          <a:r>
            <a:rPr lang="en-US" cap="none" sz="1400" b="0" i="0" u="none" baseline="0">
              <a:latin typeface="Arial"/>
              <a:ea typeface="Arial"/>
              <a:cs typeface="Arial"/>
            </a:rPr>
            <a:t>The Ecological Footprint does not document our entire impact on nature. It only includes those aspects of our waste production and resource consumption that could potentially be sustainable. In other words, it shows those resources that within given limits can be regenerated and those wastes that at sufficiently low levels can be absorbed by the biosphere. For all activities that are systematically in contradiction with sustainability, however, there is no footprint, since nature cannot cope with them. There is no sustainable regenerative rate for substances such as heavy metals, persistent organic and inorganic toxins, radioactive materials, or bio-hazardous waste. For a sustainable world, their use needs to be phased out. In other words, the above footprint calculation assumes that the person being assessed engages in none of these systematically unsustainable activities, be it for example the release of CFCs, the unsafe disposal of motor oil, or the purchase, use and disposal of other harmful household chemicals.</a:t>
          </a:r>
        </a:p>
      </xdr:txBody>
    </xdr:sp>
    <xdr:clientData/>
  </xdr:twoCellAnchor>
  <xdr:twoCellAnchor>
    <xdr:from>
      <xdr:col>1</xdr:col>
      <xdr:colOff>85725</xdr:colOff>
      <xdr:row>0</xdr:row>
      <xdr:rowOff>228600</xdr:rowOff>
    </xdr:from>
    <xdr:to>
      <xdr:col>4</xdr:col>
      <xdr:colOff>723900</xdr:colOff>
      <xdr:row>1</xdr:row>
      <xdr:rowOff>38100</xdr:rowOff>
    </xdr:to>
    <xdr:sp>
      <xdr:nvSpPr>
        <xdr:cNvPr id="2" name="AutoShape 161"/>
        <xdr:cNvSpPr>
          <a:spLocks/>
        </xdr:cNvSpPr>
      </xdr:nvSpPr>
      <xdr:spPr>
        <a:xfrm>
          <a:off x="333375" y="228600"/>
          <a:ext cx="4724400" cy="485775"/>
        </a:xfrm>
        <a:prstGeom prst="rect"/>
        <a:noFill/>
      </xdr:spPr>
      <xdr:txBody>
        <a:bodyPr fromWordArt="1" wrap="none">
          <a:prstTxWarp prst="textPlain"/>
        </a:bodyPr>
        <a:p>
          <a:pPr algn="ctr"/>
          <a:r>
            <a:rPr sz="3600" b="1" kern="10" spc="0">
              <a:ln w="9525" cmpd="sng">
                <a:solidFill>
                  <a:srgbClr val="000000"/>
                </a:solidFill>
                <a:headEnd type="none"/>
                <a:tailEnd type="none"/>
              </a:ln>
              <a:solidFill>
                <a:srgbClr val="00CCFF"/>
              </a:solidFill>
              <a:latin typeface="Arial Black"/>
              <a:cs typeface="Arial Black"/>
            </a:rPr>
            <a:t>Household Ecological Footprint Calculator
</a:t>
          </a:r>
        </a:p>
      </xdr:txBody>
    </xdr:sp>
    <xdr:clientData/>
  </xdr:twoCellAnchor>
  <xdr:twoCellAnchor>
    <xdr:from>
      <xdr:col>1</xdr:col>
      <xdr:colOff>19050</xdr:colOff>
      <xdr:row>193</xdr:row>
      <xdr:rowOff>0</xdr:rowOff>
    </xdr:from>
    <xdr:to>
      <xdr:col>14</xdr:col>
      <xdr:colOff>38100</xdr:colOff>
      <xdr:row>202</xdr:row>
      <xdr:rowOff>0</xdr:rowOff>
    </xdr:to>
    <xdr:sp>
      <xdr:nvSpPr>
        <xdr:cNvPr id="3" name="Text 1"/>
        <xdr:cNvSpPr txBox="1">
          <a:spLocks noChangeArrowheads="1"/>
        </xdr:cNvSpPr>
      </xdr:nvSpPr>
      <xdr:spPr>
        <a:xfrm>
          <a:off x="266700" y="34728150"/>
          <a:ext cx="12639675" cy="158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 </a:t>
          </a:r>
          <a:r>
            <a:rPr lang="en-US" cap="none" sz="1400" b="0" i="0" u="none" baseline="0">
              <a:latin typeface="Arial"/>
              <a:ea typeface="Arial"/>
              <a:cs typeface="Arial"/>
            </a:rPr>
            <a:t>The Ecological Footprint does not document our entire impact on nature. It only includes those aspects of our waste production and resource consumption that could potentially be sustainable. In other words, it shows those resources that within given limits can be regenerated and those wastes that at sufficiently low levels can be absorbed by the biosphere. For all activities that are systematically in contradiction with sustainability, however, there is no footprint, since nature cannot cope with them. There is no sustainable regenerative rate for substances such as heavy metals, persistent organic and inorganic toxins, radioactive materials, or bio-hazardous waste. For a sustainable world, their use needs to be phased out. In other words, the above footprint calculation assumes that the person being assessed engages in none of these systematically unsustainable activities, be it for example the release of CFCs, the unsafe disposal of motor oil, or the purchase, use and disposal of other harmful household chemicals.</a:t>
          </a:r>
        </a:p>
      </xdr:txBody>
    </xdr:sp>
    <xdr:clientData/>
  </xdr:twoCellAnchor>
  <xdr:twoCellAnchor>
    <xdr:from>
      <xdr:col>1</xdr:col>
      <xdr:colOff>85725</xdr:colOff>
      <xdr:row>0</xdr:row>
      <xdr:rowOff>228600</xdr:rowOff>
    </xdr:from>
    <xdr:to>
      <xdr:col>4</xdr:col>
      <xdr:colOff>723900</xdr:colOff>
      <xdr:row>1</xdr:row>
      <xdr:rowOff>38100</xdr:rowOff>
    </xdr:to>
    <xdr:sp>
      <xdr:nvSpPr>
        <xdr:cNvPr id="4" name="AutoShape 178"/>
        <xdr:cNvSpPr>
          <a:spLocks/>
        </xdr:cNvSpPr>
      </xdr:nvSpPr>
      <xdr:spPr>
        <a:xfrm>
          <a:off x="333375" y="228600"/>
          <a:ext cx="4724400" cy="485775"/>
        </a:xfrm>
        <a:prstGeom prst="rect"/>
        <a:noFill/>
      </xdr:spPr>
      <xdr:txBody>
        <a:bodyPr fromWordArt="1" wrap="none">
          <a:prstTxWarp prst="textPlain"/>
        </a:bodyPr>
        <a:p>
          <a:pPr algn="ctr"/>
          <a:r>
            <a:rPr sz="3600" b="1" kern="10" spc="0">
              <a:ln w="9525" cmpd="sng">
                <a:solidFill>
                  <a:srgbClr val="000000"/>
                </a:solidFill>
                <a:headEnd type="none"/>
                <a:tailEnd type="none"/>
              </a:ln>
              <a:solidFill>
                <a:srgbClr val="00CCFF"/>
              </a:solidFill>
              <a:latin typeface="Arial Black"/>
              <a:cs typeface="Arial Black"/>
            </a:rPr>
            <a:t>Household Ecological Footprint Calculator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s\mondo%20template%20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s\mondo%20template%20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2042%201999\template%2042%201999-1%20values%201-2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vestock stocks"/>
      <sheetName val="alt eq factor"/>
      <sheetName val="schematic"/>
      <sheetName val="pre sere"/>
      <sheetName val="iran"/>
      <sheetName val="iraq"/>
      <sheetName val="Sheet4"/>
      <sheetName val="Sheet3"/>
      <sheetName val="Sheet1"/>
      <sheetName val="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vestock stocks"/>
      <sheetName val="alt eq factor"/>
      <sheetName val="schematic"/>
      <sheetName val="pre sere"/>
      <sheetName val="Sheet2"/>
      <sheetName val="template"/>
      <sheetName val="energy vs co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hamas"/>
      <sheetName val="World"/>
      <sheetName val="Afghanistan"/>
      <sheetName val="Albania"/>
      <sheetName val="Algeria"/>
      <sheetName val="Argentina"/>
      <sheetName val="Armenia"/>
      <sheetName val="Australia"/>
      <sheetName val="Austria"/>
      <sheetName val="Bangladesh"/>
      <sheetName val="Belarus"/>
      <sheetName val="Belgium &amp; Luxembourg"/>
      <sheetName val="Benin"/>
      <sheetName val="Bolivia"/>
      <sheetName val="Botswana"/>
      <sheetName val="Brazil"/>
      <sheetName val="Bulgaria"/>
      <sheetName val="Cameroon"/>
      <sheetName val="Canada"/>
      <sheetName val="Chile"/>
      <sheetName val="China"/>
      <sheetName val="Colombia"/>
      <sheetName val="Congo"/>
      <sheetName val="Costa Rica"/>
      <sheetName val="Cuba"/>
      <sheetName val="Denmark"/>
      <sheetName val="Ecuador"/>
      <sheetName val="Egypt"/>
      <sheetName val="El Salvador"/>
      <sheetName val="Myanmar"/>
      <sheetName val="Sri Lanka"/>
      <sheetName val="Cote Divoire"/>
      <sheetName val="Croatia"/>
      <sheetName val="Estonia"/>
      <sheetName val="Finland"/>
      <sheetName val="France"/>
      <sheetName val="Georgia"/>
      <sheetName val="Germany"/>
      <sheetName val="Ghana"/>
      <sheetName val="Greece"/>
      <sheetName val="Guatemala"/>
      <sheetName val="Haiti"/>
      <sheetName val="Honduras"/>
      <sheetName val="Hungary"/>
      <sheetName val="India"/>
      <sheetName val="Indonesia"/>
      <sheetName val="Iran"/>
      <sheetName val="Ireland"/>
      <sheetName val="Israel"/>
      <sheetName val="Jamaica"/>
      <sheetName val="Italy"/>
      <sheetName val="Japan"/>
      <sheetName val="Jordan"/>
      <sheetName val="Kenya"/>
      <sheetName val="Korea DPRP"/>
      <sheetName val="Korea Republic"/>
      <sheetName val="Kuwait"/>
      <sheetName val="Kyrgyzstan"/>
      <sheetName val="Latvia"/>
      <sheetName val="Eritrea"/>
      <sheetName val="Czech Republic"/>
      <sheetName val="Lebanon"/>
      <sheetName val="Libya"/>
      <sheetName val="Lithuania"/>
      <sheetName val="Macedonia"/>
      <sheetName val="Malaysia"/>
      <sheetName val="Mexico"/>
      <sheetName val="Moldova Republic"/>
      <sheetName val="Morocco"/>
      <sheetName val="Namibia"/>
      <sheetName val="Nepal"/>
      <sheetName val="Netherlands"/>
      <sheetName val="New Zealand"/>
      <sheetName val="Nicaragua"/>
      <sheetName val="Nigeria"/>
      <sheetName val="Norway"/>
      <sheetName val="Pakistan"/>
      <sheetName val="Panama"/>
      <sheetName val="Peru"/>
      <sheetName val="Philippines"/>
      <sheetName val="Poland"/>
      <sheetName val="Portugal"/>
      <sheetName val="Yugoslavia"/>
      <sheetName val="Yemen"/>
      <sheetName val="Trinidad and Tobago"/>
      <sheetName val="Congo Dem Rep"/>
      <sheetName val="Ethiopia"/>
      <sheetName val="Romania"/>
      <sheetName val="Russia"/>
      <sheetName val="Saudi Arabia"/>
      <sheetName val="Senegal"/>
      <sheetName val="Slovakia"/>
      <sheetName val="Slovenia"/>
      <sheetName val="South Africa"/>
      <sheetName val="Spain"/>
      <sheetName val="Sudan"/>
      <sheetName val="Sweden"/>
      <sheetName val="Switzerland"/>
      <sheetName val="Syria"/>
      <sheetName val="Tajikistan"/>
      <sheetName val="Tanzania"/>
      <sheetName val="Thailand"/>
      <sheetName val="Togo"/>
      <sheetName val="Tunisia"/>
      <sheetName val="Turkey"/>
      <sheetName val="Turkmenistan"/>
      <sheetName val="Ukraine"/>
      <sheetName val="United Arab Emirates"/>
      <sheetName val="United Kingdom"/>
      <sheetName val="United States of America"/>
      <sheetName val="Uruguay"/>
      <sheetName val="Uzbekistan"/>
      <sheetName val="Venezuela"/>
      <sheetName val="Vietnam"/>
      <sheetName val="Zambia"/>
      <sheetName val="paraguay"/>
      <sheetName val="mozambique"/>
      <sheetName val="angola"/>
      <sheetName val="azerbaijan"/>
      <sheetName val="gabon"/>
      <sheetName val="bosnia herzegovina"/>
      <sheetName val="zimbabwe"/>
      <sheetName val="kazakhstan"/>
      <sheetName val="iraq"/>
      <sheetName val="dominican republic"/>
      <sheetName val="belize"/>
      <sheetName val="burundi"/>
      <sheetName val="chad"/>
      <sheetName val="central african rep"/>
      <sheetName val="cambodia"/>
      <sheetName val="laos"/>
      <sheetName val="guinea"/>
      <sheetName val="gambia"/>
      <sheetName val="guinea-bissau"/>
      <sheetName val="mongolia"/>
      <sheetName val="mali"/>
      <sheetName val="mauritius"/>
      <sheetName val="niger"/>
      <sheetName val="mauritania"/>
      <sheetName val="malawi"/>
      <sheetName val="liberia"/>
      <sheetName val="madagascar"/>
      <sheetName val="papua new guinea"/>
      <sheetName val="lesotho"/>
      <sheetName val="burkina faso"/>
      <sheetName val="sierra leone"/>
      <sheetName val="uganda"/>
      <sheetName val="rwanda"/>
      <sheetName val="somal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1"/>
  <sheetViews>
    <sheetView tabSelected="1" zoomScale="75" zoomScaleNormal="75" workbookViewId="0" topLeftCell="A1">
      <selection activeCell="D5" sqref="D5"/>
    </sheetView>
  </sheetViews>
  <sheetFormatPr defaultColWidth="9.140625" defaultRowHeight="12.75"/>
  <cols>
    <col min="1" max="1" width="3.7109375" style="1" customWidth="1"/>
    <col min="2" max="2" width="33.421875" style="4" customWidth="1"/>
    <col min="3" max="3" width="13.7109375" style="3" customWidth="1"/>
    <col min="4" max="4" width="14.140625" style="4" customWidth="1"/>
    <col min="5" max="5" width="12.421875" style="4" customWidth="1"/>
    <col min="6" max="6" width="13.00390625" style="4" customWidth="1"/>
    <col min="7" max="7" width="12.7109375" style="4" customWidth="1"/>
    <col min="8" max="9" width="13.421875" style="4" customWidth="1"/>
    <col min="10" max="10" width="13.140625" style="4" customWidth="1"/>
    <col min="11" max="11" width="13.00390625" style="4" customWidth="1"/>
    <col min="12" max="12" width="14.00390625" style="4" customWidth="1"/>
    <col min="13" max="14" width="11.421875" style="4" customWidth="1"/>
    <col min="15" max="15" width="19.7109375" style="4" customWidth="1"/>
    <col min="16" max="17" width="11.421875" style="4" customWidth="1"/>
    <col min="18" max="18" width="26.8515625" style="4" customWidth="1"/>
    <col min="19" max="16384" width="11.421875" style="4" customWidth="1"/>
  </cols>
  <sheetData>
    <row r="1" spans="1:2" ht="53.25" customHeight="1">
      <c r="A1" s="1" t="s">
        <v>0</v>
      </c>
      <c r="B1" s="2"/>
    </row>
    <row r="2" ht="12.75">
      <c r="B2" s="4" t="s">
        <v>1</v>
      </c>
    </row>
    <row r="3" spans="2:13" ht="13.5" customHeight="1" thickBot="1">
      <c r="B3" s="5"/>
      <c r="M3" s="3"/>
    </row>
    <row r="4" spans="2:12" ht="15.75">
      <c r="B4" s="6" t="s">
        <v>264</v>
      </c>
      <c r="C4" s="7"/>
      <c r="D4" s="8"/>
      <c r="E4" s="8"/>
      <c r="F4" s="8"/>
      <c r="G4" s="8"/>
      <c r="H4" s="8"/>
      <c r="I4" s="8"/>
      <c r="J4" s="8"/>
      <c r="K4" s="9"/>
      <c r="L4" s="10"/>
    </row>
    <row r="5" spans="2:12" ht="15.75">
      <c r="B5" s="11" t="s">
        <v>2</v>
      </c>
      <c r="C5" s="12"/>
      <c r="D5" s="13">
        <v>0</v>
      </c>
      <c r="E5" s="14" t="s">
        <v>3</v>
      </c>
      <c r="F5" s="15"/>
      <c r="G5" s="16"/>
      <c r="H5" s="17"/>
      <c r="I5" s="18"/>
      <c r="K5" s="19"/>
      <c r="L5" s="20"/>
    </row>
    <row r="6" spans="2:12" ht="12.75">
      <c r="B6" s="21"/>
      <c r="C6" s="4"/>
      <c r="D6" s="22">
        <v>0</v>
      </c>
      <c r="E6" s="23" t="s">
        <v>4</v>
      </c>
      <c r="F6" s="24"/>
      <c r="G6" s="24"/>
      <c r="H6" s="25"/>
      <c r="I6" s="24"/>
      <c r="J6" s="24"/>
      <c r="K6" s="26"/>
      <c r="L6" s="20"/>
    </row>
    <row r="7" spans="2:12" ht="12.75">
      <c r="B7" s="21"/>
      <c r="C7" s="4"/>
      <c r="D7" s="27">
        <v>0</v>
      </c>
      <c r="E7" s="23" t="s">
        <v>5</v>
      </c>
      <c r="F7" s="24"/>
      <c r="G7" s="24"/>
      <c r="H7" s="25"/>
      <c r="I7" s="24"/>
      <c r="J7" s="24"/>
      <c r="K7" s="26"/>
      <c r="L7" s="20"/>
    </row>
    <row r="8" spans="2:12" ht="12.75">
      <c r="B8" s="28"/>
      <c r="C8" s="4"/>
      <c r="D8" s="27">
        <v>0</v>
      </c>
      <c r="E8" s="29" t="s">
        <v>6</v>
      </c>
      <c r="F8" s="30"/>
      <c r="G8" s="31"/>
      <c r="H8" s="32"/>
      <c r="I8" s="33"/>
      <c r="J8" s="24"/>
      <c r="K8" s="26"/>
      <c r="L8" s="20"/>
    </row>
    <row r="9" spans="2:12" ht="12.75">
      <c r="B9" s="28"/>
      <c r="C9" s="4"/>
      <c r="D9" s="34" t="s">
        <v>7</v>
      </c>
      <c r="E9" s="35">
        <f>IF(D5-D6=0,0,(D7+D8)*60*52/12/(D5-D6))</f>
        <v>0</v>
      </c>
      <c r="F9" s="36" t="s">
        <v>8</v>
      </c>
      <c r="G9" s="37"/>
      <c r="H9" s="38"/>
      <c r="I9" s="33"/>
      <c r="J9" s="24"/>
      <c r="K9" s="24"/>
      <c r="L9" s="20"/>
    </row>
    <row r="10" spans="2:12" ht="12.75">
      <c r="B10" s="28"/>
      <c r="C10" s="4"/>
      <c r="D10" s="39"/>
      <c r="E10" s="40"/>
      <c r="F10" s="41"/>
      <c r="I10" s="33"/>
      <c r="J10" s="24"/>
      <c r="K10" s="24"/>
      <c r="L10" s="20"/>
    </row>
    <row r="11" spans="2:12" ht="15.75">
      <c r="B11" s="42" t="s">
        <v>9</v>
      </c>
      <c r="C11" s="43"/>
      <c r="D11" s="44"/>
      <c r="E11" s="45"/>
      <c r="F11" s="46"/>
      <c r="H11" s="18"/>
      <c r="J11" s="24"/>
      <c r="K11" s="24"/>
      <c r="L11" s="20"/>
    </row>
    <row r="12" spans="2:12" ht="18">
      <c r="B12" s="42"/>
      <c r="C12" s="47"/>
      <c r="D12" s="48" t="s">
        <v>10</v>
      </c>
      <c r="E12" s="49" t="s">
        <v>11</v>
      </c>
      <c r="F12" s="50"/>
      <c r="G12" s="51"/>
      <c r="H12" s="52"/>
      <c r="J12" s="24"/>
      <c r="K12" s="24"/>
      <c r="L12" s="20"/>
    </row>
    <row r="13" spans="2:12" ht="12.75">
      <c r="B13" s="21"/>
      <c r="C13" s="53"/>
      <c r="D13" s="24"/>
      <c r="E13" s="24"/>
      <c r="F13" s="24"/>
      <c r="G13" s="24"/>
      <c r="H13" s="53"/>
      <c r="I13" s="24"/>
      <c r="J13" s="24"/>
      <c r="K13" s="24"/>
      <c r="L13" s="20"/>
    </row>
    <row r="14" spans="2:14" ht="13.5" customHeight="1">
      <c r="B14" s="604" t="s">
        <v>266</v>
      </c>
      <c r="C14" s="605"/>
      <c r="D14" s="605"/>
      <c r="E14" s="605"/>
      <c r="F14" s="605"/>
      <c r="G14" s="605"/>
      <c r="H14" s="605"/>
      <c r="I14" s="605"/>
      <c r="J14" s="605"/>
      <c r="K14" s="605"/>
      <c r="L14" s="606"/>
      <c r="N14" s="24"/>
    </row>
    <row r="15" spans="2:14" ht="12.75" customHeight="1">
      <c r="B15" s="604"/>
      <c r="C15" s="605"/>
      <c r="D15" s="605"/>
      <c r="E15" s="605"/>
      <c r="F15" s="605"/>
      <c r="G15" s="605"/>
      <c r="H15" s="605"/>
      <c r="I15" s="605"/>
      <c r="J15" s="605"/>
      <c r="K15" s="605"/>
      <c r="L15" s="606"/>
      <c r="N15" s="24"/>
    </row>
    <row r="16" spans="2:14" ht="27.75" customHeight="1">
      <c r="B16" s="607"/>
      <c r="C16" s="605"/>
      <c r="D16" s="605"/>
      <c r="E16" s="605"/>
      <c r="F16" s="605"/>
      <c r="G16" s="605"/>
      <c r="H16" s="605"/>
      <c r="I16" s="605"/>
      <c r="J16" s="605"/>
      <c r="K16" s="605"/>
      <c r="L16" s="606"/>
      <c r="N16" s="24"/>
    </row>
    <row r="17" spans="2:14" ht="12" customHeight="1">
      <c r="B17" s="21"/>
      <c r="C17" s="53"/>
      <c r="D17" s="54"/>
      <c r="E17" s="55"/>
      <c r="F17" s="56"/>
      <c r="G17" s="56"/>
      <c r="H17" s="24"/>
      <c r="I17" s="24"/>
      <c r="J17" s="24"/>
      <c r="K17" s="57"/>
      <c r="L17" s="58"/>
      <c r="N17" s="24"/>
    </row>
    <row r="18" spans="2:12" ht="18.75" customHeight="1" thickBot="1">
      <c r="B18" s="59" t="s">
        <v>12</v>
      </c>
      <c r="C18" s="60"/>
      <c r="D18" s="61">
        <v>1</v>
      </c>
      <c r="E18" s="62"/>
      <c r="F18" s="62"/>
      <c r="G18" s="63"/>
      <c r="H18" s="64"/>
      <c r="I18" s="64"/>
      <c r="J18" s="64"/>
      <c r="K18" s="64"/>
      <c r="L18" s="65"/>
    </row>
    <row r="19" spans="2:18" ht="18.75" customHeight="1">
      <c r="B19" s="66"/>
      <c r="C19" s="67"/>
      <c r="D19" s="67"/>
      <c r="E19" s="55"/>
      <c r="F19" s="55"/>
      <c r="G19" s="19"/>
      <c r="H19" s="24"/>
      <c r="I19" s="24"/>
      <c r="J19" s="24"/>
      <c r="K19" s="24"/>
      <c r="L19" s="24"/>
      <c r="O19" s="26"/>
      <c r="P19" s="26"/>
      <c r="Q19" s="26"/>
      <c r="R19" s="26"/>
    </row>
    <row r="20" spans="2:18" ht="15" customHeight="1" thickBot="1">
      <c r="B20" s="66"/>
      <c r="C20" s="68"/>
      <c r="D20" s="69"/>
      <c r="E20" s="55"/>
      <c r="F20" s="55"/>
      <c r="G20" s="26"/>
      <c r="I20" s="24"/>
      <c r="J20" s="24"/>
      <c r="K20" s="24"/>
      <c r="L20" s="24"/>
      <c r="O20" s="26"/>
      <c r="P20" s="26"/>
      <c r="Q20" s="26"/>
      <c r="R20" s="26"/>
    </row>
    <row r="21" spans="2:18" ht="13.5" thickTop="1">
      <c r="B21" s="70" t="s">
        <v>13</v>
      </c>
      <c r="C21" s="71" t="s">
        <v>14</v>
      </c>
      <c r="D21" s="72" t="s">
        <v>15</v>
      </c>
      <c r="E21" s="73" t="s">
        <v>16</v>
      </c>
      <c r="F21" s="74" t="s">
        <v>17</v>
      </c>
      <c r="G21" s="75" t="s">
        <v>18</v>
      </c>
      <c r="H21" s="76" t="s">
        <v>19</v>
      </c>
      <c r="I21" s="76" t="s">
        <v>20</v>
      </c>
      <c r="J21" s="77" t="s">
        <v>21</v>
      </c>
      <c r="K21" s="78" t="s">
        <v>22</v>
      </c>
      <c r="L21" s="79" t="s">
        <v>23</v>
      </c>
      <c r="O21" s="80" t="s">
        <v>24</v>
      </c>
      <c r="P21" s="81" t="s">
        <v>25</v>
      </c>
      <c r="Q21" s="81"/>
      <c r="R21" s="82"/>
    </row>
    <row r="22" spans="2:18" ht="15" thickBot="1">
      <c r="B22" s="83"/>
      <c r="C22" s="84"/>
      <c r="D22" s="85" t="s">
        <v>26</v>
      </c>
      <c r="E22" s="85" t="s">
        <v>27</v>
      </c>
      <c r="F22" s="86" t="s">
        <v>28</v>
      </c>
      <c r="G22" s="87" t="s">
        <v>29</v>
      </c>
      <c r="H22" s="87"/>
      <c r="I22" s="88"/>
      <c r="J22" s="87"/>
      <c r="K22" s="89" t="s">
        <v>30</v>
      </c>
      <c r="L22" s="90"/>
      <c r="O22" s="91"/>
      <c r="P22" s="92" t="s">
        <v>31</v>
      </c>
      <c r="Q22" s="93" t="s">
        <v>32</v>
      </c>
      <c r="R22" s="94"/>
    </row>
    <row r="23" spans="2:18" ht="15" thickTop="1">
      <c r="B23" s="95" t="s">
        <v>33</v>
      </c>
      <c r="C23" s="96"/>
      <c r="D23" s="97"/>
      <c r="E23" s="44"/>
      <c r="F23" s="44"/>
      <c r="G23" s="98" t="s">
        <v>34</v>
      </c>
      <c r="H23" s="99"/>
      <c r="I23" s="99"/>
      <c r="J23" s="99"/>
      <c r="K23" s="99"/>
      <c r="L23" s="100"/>
      <c r="O23" s="91"/>
      <c r="P23" s="101" t="s">
        <v>35</v>
      </c>
      <c r="Q23" s="97" t="s">
        <v>36</v>
      </c>
      <c r="R23" s="94"/>
    </row>
    <row r="24" spans="2:18" ht="14.25">
      <c r="B24" s="102"/>
      <c r="C24" s="96"/>
      <c r="D24" s="44"/>
      <c r="E24" s="44"/>
      <c r="F24" s="44"/>
      <c r="G24" s="103"/>
      <c r="H24" s="44"/>
      <c r="I24" s="44"/>
      <c r="J24" s="44"/>
      <c r="K24" s="44"/>
      <c r="L24" s="104"/>
      <c r="O24" s="105"/>
      <c r="P24" s="101" t="s">
        <v>37</v>
      </c>
      <c r="Q24" s="97" t="s">
        <v>38</v>
      </c>
      <c r="R24" s="94"/>
    </row>
    <row r="25" spans="2:18" ht="13.5" thickBot="1">
      <c r="B25" s="106" t="s">
        <v>39</v>
      </c>
      <c r="C25" s="44"/>
      <c r="D25" s="44"/>
      <c r="E25" s="44"/>
      <c r="F25" s="107">
        <v>0.26</v>
      </c>
      <c r="G25" s="97" t="s">
        <v>40</v>
      </c>
      <c r="H25" s="108"/>
      <c r="I25" s="18"/>
      <c r="J25" s="44"/>
      <c r="K25" s="44"/>
      <c r="L25" s="104"/>
      <c r="O25" s="105" t="s">
        <v>41</v>
      </c>
      <c r="P25" s="97" t="s">
        <v>42</v>
      </c>
      <c r="Q25" s="97"/>
      <c r="R25" s="94"/>
    </row>
    <row r="26" spans="2:18" ht="13.5" thickTop="1">
      <c r="B26" s="109" t="s">
        <v>43</v>
      </c>
      <c r="C26" s="110"/>
      <c r="D26" s="44"/>
      <c r="E26" s="44"/>
      <c r="F26" s="111" t="s">
        <v>44</v>
      </c>
      <c r="G26" s="112" t="s">
        <v>45</v>
      </c>
      <c r="H26" s="113" t="s">
        <v>46</v>
      </c>
      <c r="I26" s="18"/>
      <c r="J26" s="18"/>
      <c r="K26" s="18"/>
      <c r="L26" s="104"/>
      <c r="O26" s="114" t="s">
        <v>47</v>
      </c>
      <c r="P26" s="97" t="s">
        <v>48</v>
      </c>
      <c r="Q26" s="97"/>
      <c r="R26" s="94"/>
    </row>
    <row r="27" spans="2:18" ht="13.5" thickBot="1">
      <c r="B27" s="109" t="s">
        <v>49</v>
      </c>
      <c r="C27" s="110"/>
      <c r="D27" s="44"/>
      <c r="E27" s="44"/>
      <c r="F27" s="115">
        <f>IF(F26="a",1.2,IF(F26="b",1,IF(F26="c",0.8,IF(F26="d",0.5,IF(F26="e",0.1,0)))))</f>
        <v>1.2</v>
      </c>
      <c r="G27" s="112" t="s">
        <v>50</v>
      </c>
      <c r="H27" s="113" t="s">
        <v>51</v>
      </c>
      <c r="I27" s="18"/>
      <c r="J27" s="18"/>
      <c r="K27" s="18"/>
      <c r="L27" s="104"/>
      <c r="O27" s="116"/>
      <c r="P27" s="117"/>
      <c r="Q27" s="117"/>
      <c r="R27" s="118"/>
    </row>
    <row r="28" spans="2:18" ht="13.5" thickTop="1">
      <c r="B28" s="102"/>
      <c r="C28" s="110"/>
      <c r="D28" s="44"/>
      <c r="E28" s="44"/>
      <c r="F28" s="44"/>
      <c r="G28" s="112" t="s">
        <v>52</v>
      </c>
      <c r="H28" s="113" t="s">
        <v>53</v>
      </c>
      <c r="I28" s="18"/>
      <c r="J28" s="18"/>
      <c r="K28" s="18"/>
      <c r="L28" s="104"/>
      <c r="O28" s="119" t="s">
        <v>54</v>
      </c>
      <c r="P28" s="120" t="s">
        <v>55</v>
      </c>
      <c r="Q28" s="120" t="s">
        <v>56</v>
      </c>
      <c r="R28" s="121" t="s">
        <v>57</v>
      </c>
    </row>
    <row r="29" spans="2:18" ht="12.75">
      <c r="B29" s="102"/>
      <c r="C29" s="110"/>
      <c r="D29" s="44"/>
      <c r="E29" s="44"/>
      <c r="F29" s="18"/>
      <c r="G29" s="112" t="s">
        <v>58</v>
      </c>
      <c r="H29" s="113" t="s">
        <v>59</v>
      </c>
      <c r="I29" s="18"/>
      <c r="J29" s="18"/>
      <c r="K29" s="18"/>
      <c r="L29" s="104"/>
      <c r="O29" s="122" t="s">
        <v>60</v>
      </c>
      <c r="P29" s="120"/>
      <c r="Q29" s="120"/>
      <c r="R29" s="121"/>
    </row>
    <row r="30" spans="2:18" ht="12.75">
      <c r="B30" s="102"/>
      <c r="C30" s="110"/>
      <c r="D30" s="44"/>
      <c r="E30" s="44"/>
      <c r="F30" s="44"/>
      <c r="G30" s="112" t="s">
        <v>61</v>
      </c>
      <c r="H30" s="113" t="s">
        <v>62</v>
      </c>
      <c r="I30" s="18"/>
      <c r="J30" s="18"/>
      <c r="K30" s="18"/>
      <c r="L30" s="104"/>
      <c r="O30" s="123" t="s">
        <v>63</v>
      </c>
      <c r="P30" s="120" t="s">
        <v>64</v>
      </c>
      <c r="Q30" s="108"/>
      <c r="R30" s="121"/>
    </row>
    <row r="31" spans="2:18" ht="13.5" customHeight="1">
      <c r="B31" s="102"/>
      <c r="C31" s="110"/>
      <c r="D31" s="44"/>
      <c r="E31" s="44"/>
      <c r="F31" s="44"/>
      <c r="G31" s="44"/>
      <c r="H31" s="44"/>
      <c r="I31" s="44"/>
      <c r="J31" s="18"/>
      <c r="K31" s="44"/>
      <c r="L31" s="104"/>
      <c r="O31" s="124"/>
      <c r="P31" s="44"/>
      <c r="Q31" s="44"/>
      <c r="R31" s="104"/>
    </row>
    <row r="32" spans="2:18" ht="12.75">
      <c r="B32" s="125" t="s">
        <v>65</v>
      </c>
      <c r="C32" s="126" t="str">
        <f>IF($D$12="m","[kg]","[pounds]")</f>
        <v>[pounds]</v>
      </c>
      <c r="D32" s="127">
        <v>0</v>
      </c>
      <c r="E32" s="128">
        <f aca="true" t="shared" si="0" ref="E32:E40">D32*12</f>
        <v>0</v>
      </c>
      <c r="F32" s="129">
        <v>0</v>
      </c>
      <c r="G32" s="130">
        <f>E32*10*IF($D$12="m",1,0.454)*$F$27*$D$252*$D$250*$C$265</f>
        <v>0</v>
      </c>
      <c r="H32" s="130">
        <f>IF(D$12="s",0.454,IF(D$12="m",1))*E32*C212*$D$252</f>
        <v>0</v>
      </c>
      <c r="I32" s="131"/>
      <c r="J32" s="131"/>
      <c r="K32" s="132"/>
      <c r="L32" s="133"/>
      <c r="O32" s="134">
        <f aca="true" t="shared" si="1" ref="O32:O54">+F32*E$9/60</f>
        <v>0</v>
      </c>
      <c r="P32" s="135"/>
      <c r="Q32" s="135"/>
      <c r="R32" s="136"/>
    </row>
    <row r="33" spans="2:18" ht="12.75">
      <c r="B33" s="137" t="s">
        <v>66</v>
      </c>
      <c r="C33" s="138" t="str">
        <f>IF($D$12="m","[kg]","[pounds]")</f>
        <v>[pounds]</v>
      </c>
      <c r="D33" s="127">
        <v>0</v>
      </c>
      <c r="E33" s="128">
        <f t="shared" si="0"/>
        <v>0</v>
      </c>
      <c r="F33" s="129">
        <v>0</v>
      </c>
      <c r="G33" s="130">
        <f>E33*25*IF($D$12="m",1,0.454)*$F$27*$D$252*$D$250*$C$265</f>
        <v>0</v>
      </c>
      <c r="H33" s="130">
        <f>IF(D$12="s",0.454,IF(D$12="m",1))*E33*C213*$D$252</f>
        <v>0</v>
      </c>
      <c r="I33" s="131"/>
      <c r="J33" s="131"/>
      <c r="K33" s="132"/>
      <c r="L33" s="133"/>
      <c r="O33" s="134">
        <f t="shared" si="1"/>
        <v>0</v>
      </c>
      <c r="P33" s="135"/>
      <c r="Q33" s="135"/>
      <c r="R33" s="136"/>
    </row>
    <row r="34" spans="2:18" ht="12.75">
      <c r="B34" s="125" t="s">
        <v>67</v>
      </c>
      <c r="C34" s="126" t="str">
        <f>IF($D$12="m","[kg]","[pounds]")</f>
        <v>[pounds]</v>
      </c>
      <c r="D34" s="127">
        <v>0</v>
      </c>
      <c r="E34" s="128">
        <f t="shared" si="0"/>
        <v>0</v>
      </c>
      <c r="F34" s="129">
        <v>0</v>
      </c>
      <c r="G34" s="130">
        <f>E34*20*IF($D$12="m",1,0.454)*$F$27*$D$252*$D$250*$C$265</f>
        <v>0</v>
      </c>
      <c r="H34" s="130">
        <f>IF(D$12="s",0.454,IF(D$12="m",1))*E34*C214*$D$252</f>
        <v>0</v>
      </c>
      <c r="I34" s="131"/>
      <c r="J34" s="131"/>
      <c r="K34" s="132"/>
      <c r="L34" s="133"/>
      <c r="O34" s="134">
        <f t="shared" si="1"/>
        <v>0</v>
      </c>
      <c r="P34" s="135"/>
      <c r="Q34" s="135"/>
      <c r="R34" s="136"/>
    </row>
    <row r="35" spans="2:18" ht="12.75">
      <c r="B35" s="125" t="s">
        <v>68</v>
      </c>
      <c r="C35" s="126" t="str">
        <f>IF($D$12="m","[kg]","[pounds]")</f>
        <v>[pounds]</v>
      </c>
      <c r="D35" s="127">
        <v>0</v>
      </c>
      <c r="E35" s="128">
        <f t="shared" si="0"/>
        <v>0</v>
      </c>
      <c r="F35" s="129">
        <v>0</v>
      </c>
      <c r="G35" s="130">
        <f>E35*20*IF($D$12="m",1,0.454)*$F$27*$D$252*$D$250*$C$265</f>
        <v>0</v>
      </c>
      <c r="H35" s="130">
        <f>IF(D$12="s",0.454,IF(D$12="m",1))*E35*C215*$D$252</f>
        <v>0</v>
      </c>
      <c r="I35" s="131"/>
      <c r="J35" s="131"/>
      <c r="K35" s="132"/>
      <c r="L35" s="133"/>
      <c r="O35" s="134">
        <f t="shared" si="1"/>
        <v>0</v>
      </c>
      <c r="P35" s="135"/>
      <c r="Q35" s="135"/>
      <c r="R35" s="136"/>
    </row>
    <row r="36" spans="2:18" ht="12.75">
      <c r="B36" s="125" t="s">
        <v>69</v>
      </c>
      <c r="C36" s="126" t="str">
        <f>IF($D$12="m","[kg]","[pounds]")</f>
        <v>[pounds]</v>
      </c>
      <c r="D36" s="127">
        <v>0</v>
      </c>
      <c r="E36" s="128">
        <f>D36*12</f>
        <v>0</v>
      </c>
      <c r="F36" s="129">
        <v>0</v>
      </c>
      <c r="G36" s="130">
        <f>E36*10*IF($D$12="m",1,0.454)*$F$27*$D$252*$D$250*$C$265</f>
        <v>0</v>
      </c>
      <c r="H36" s="130">
        <f>IF(D$12="s",0.454,IF(D$12="m",1))*E36*C216*$D$252</f>
        <v>0</v>
      </c>
      <c r="I36" s="131"/>
      <c r="J36" s="131"/>
      <c r="K36" s="132"/>
      <c r="L36" s="133"/>
      <c r="O36" s="134">
        <f t="shared" si="1"/>
        <v>0</v>
      </c>
      <c r="P36" s="135"/>
      <c r="Q36" s="135"/>
      <c r="R36" s="136"/>
    </row>
    <row r="37" spans="2:18" ht="12.75">
      <c r="B37" s="125" t="s">
        <v>70</v>
      </c>
      <c r="C37" s="126" t="str">
        <f>IF($D$12="m","[l]","[quarts]")</f>
        <v>[quarts]</v>
      </c>
      <c r="D37" s="127">
        <v>0</v>
      </c>
      <c r="E37" s="128">
        <f t="shared" si="0"/>
        <v>0</v>
      </c>
      <c r="F37" s="129">
        <v>0</v>
      </c>
      <c r="G37" s="130">
        <f>E37*10*IF($D$12="m",1,2*0.473)*$F$27*$D$252*$D$250*$C$265</f>
        <v>0</v>
      </c>
      <c r="H37" s="130">
        <f>IF(D$12="s",0.946,IF(D$12="m",1))*(E37*1)*C217*$D$252</f>
        <v>0</v>
      </c>
      <c r="I37" s="130">
        <f>IF(D$12="s",0.946,IF(D$12="m",1))*(E37*1)*D217*$D$252</f>
        <v>0</v>
      </c>
      <c r="J37" s="131"/>
      <c r="K37" s="132"/>
      <c r="L37" s="133"/>
      <c r="O37" s="134">
        <f t="shared" si="1"/>
        <v>0</v>
      </c>
      <c r="P37" s="135"/>
      <c r="Q37" s="135"/>
      <c r="R37" s="136"/>
    </row>
    <row r="38" spans="2:18" ht="12.75">
      <c r="B38" s="125" t="s">
        <v>71</v>
      </c>
      <c r="C38" s="126" t="str">
        <f>IF($D$12="m","[l]","[quarts]")</f>
        <v>[quarts]</v>
      </c>
      <c r="D38" s="127">
        <v>0</v>
      </c>
      <c r="E38" s="128">
        <f t="shared" si="0"/>
        <v>0</v>
      </c>
      <c r="F38" s="129">
        <v>0</v>
      </c>
      <c r="G38" s="130">
        <f>E38*20*IF($D$12="m",1,2*0.473)*$F$27*$D$252*$D$250*$C$265</f>
        <v>0</v>
      </c>
      <c r="H38" s="130">
        <f>IF(D$12="s",0.946,IF(D$12="m",1))*(E38*1)*C218*$D$252</f>
        <v>0</v>
      </c>
      <c r="I38" s="130">
        <f>IF(D$12="s",0.946,IF(D$12="m",1))*(E38*1)*D218*$D$252</f>
        <v>0</v>
      </c>
      <c r="J38" s="131"/>
      <c r="K38" s="132"/>
      <c r="L38" s="133"/>
      <c r="O38" s="134">
        <f t="shared" si="1"/>
        <v>0</v>
      </c>
      <c r="P38" s="135"/>
      <c r="Q38" s="135"/>
      <c r="R38" s="136"/>
    </row>
    <row r="39" spans="2:18" ht="12.75">
      <c r="B39" s="125" t="s">
        <v>72</v>
      </c>
      <c r="C39" s="126" t="str">
        <f>IF($D$12="m","[kg]","[pounds]")</f>
        <v>[pounds]</v>
      </c>
      <c r="D39" s="127">
        <v>0</v>
      </c>
      <c r="E39" s="128">
        <f t="shared" si="0"/>
        <v>0</v>
      </c>
      <c r="F39" s="129">
        <v>0</v>
      </c>
      <c r="G39" s="130">
        <f>E39*65*IF($D$12="m",1,0.454)*$F$27*$D$252*$D$250*$C$265</f>
        <v>0</v>
      </c>
      <c r="H39" s="130">
        <f>IF(D$12="s",0.454,IF(D$12="m",1))*E39*C219*$D$252</f>
        <v>0</v>
      </c>
      <c r="I39" s="130">
        <f>IF(D$12="s",0.454,IF(D$12="m",1))*E39*D219*$D$252</f>
        <v>0</v>
      </c>
      <c r="J39" s="131"/>
      <c r="K39" s="132"/>
      <c r="L39" s="133"/>
      <c r="O39" s="134">
        <f t="shared" si="1"/>
        <v>0</v>
      </c>
      <c r="P39" s="135"/>
      <c r="Q39" s="135"/>
      <c r="R39" s="136"/>
    </row>
    <row r="40" spans="2:18" ht="12.75">
      <c r="B40" s="125" t="s">
        <v>73</v>
      </c>
      <c r="C40" s="126" t="s">
        <v>74</v>
      </c>
      <c r="D40" s="139">
        <v>0</v>
      </c>
      <c r="E40" s="128">
        <f t="shared" si="0"/>
        <v>0</v>
      </c>
      <c r="F40" s="129">
        <v>0</v>
      </c>
      <c r="G40" s="130">
        <f>E40*0.05*25*$F$27*$D$252*$D$250*$C$265</f>
        <v>0</v>
      </c>
      <c r="H40" s="130">
        <f>(E40*0.05)*C220*$D$252</f>
        <v>0</v>
      </c>
      <c r="I40" s="131"/>
      <c r="J40" s="131"/>
      <c r="K40" s="132"/>
      <c r="L40" s="133"/>
      <c r="O40" s="134">
        <f t="shared" si="1"/>
        <v>0</v>
      </c>
      <c r="P40" s="135"/>
      <c r="Q40" s="135"/>
      <c r="R40" s="136"/>
    </row>
    <row r="41" spans="2:18" ht="12.75">
      <c r="B41" s="140" t="s">
        <v>75</v>
      </c>
      <c r="C41" s="126"/>
      <c r="D41" s="141"/>
      <c r="E41" s="128"/>
      <c r="F41" s="142"/>
      <c r="G41" s="143" t="s">
        <v>0</v>
      </c>
      <c r="H41" s="143"/>
      <c r="I41" s="143"/>
      <c r="J41" s="131"/>
      <c r="K41" s="144"/>
      <c r="L41" s="145"/>
      <c r="O41" s="134">
        <f t="shared" si="1"/>
        <v>0</v>
      </c>
      <c r="P41" s="135"/>
      <c r="Q41" s="135"/>
      <c r="R41" s="136"/>
    </row>
    <row r="42" spans="2:18" ht="12.75">
      <c r="B42" s="125" t="s">
        <v>76</v>
      </c>
      <c r="C42" s="126" t="str">
        <f>IF($D$12="m","[kg]","[pounds]")</f>
        <v>[pounds]</v>
      </c>
      <c r="D42" s="127">
        <v>0</v>
      </c>
      <c r="E42" s="128">
        <f aca="true" t="shared" si="2" ref="E42:E51">D42*12</f>
        <v>0</v>
      </c>
      <c r="F42" s="129">
        <v>0</v>
      </c>
      <c r="G42" s="130">
        <f>E42*100*IF($D$12="m",1,0.454)*$F$27*$D$252*$D$250*$C$265</f>
        <v>0</v>
      </c>
      <c r="H42" s="130">
        <f>IF(D$12="s",0.454,IF(D$12="m",1))*E42*C222*$D$252</f>
        <v>0</v>
      </c>
      <c r="I42" s="131"/>
      <c r="J42" s="131"/>
      <c r="K42" s="132"/>
      <c r="L42" s="133"/>
      <c r="O42" s="134">
        <f t="shared" si="1"/>
        <v>0</v>
      </c>
      <c r="P42" s="135"/>
      <c r="Q42" s="135"/>
      <c r="R42" s="136"/>
    </row>
    <row r="43" spans="2:18" ht="12.75">
      <c r="B43" s="125" t="s">
        <v>77</v>
      </c>
      <c r="C43" s="126" t="str">
        <f>IF($D$12="m","[kg]","[pounds]")</f>
        <v>[pounds]</v>
      </c>
      <c r="D43" s="127">
        <v>0</v>
      </c>
      <c r="E43" s="128">
        <f t="shared" si="2"/>
        <v>0</v>
      </c>
      <c r="F43" s="129">
        <v>0</v>
      </c>
      <c r="G43" s="130">
        <f>E43*80*IF($D$12="m",1,0.454)*$F$27*$D$252*$D$250*$C$265</f>
        <v>0</v>
      </c>
      <c r="H43" s="130">
        <f>IF(D$12="s",0.454,IF(D$12="m",1))*E43*C223*$D$252</f>
        <v>0</v>
      </c>
      <c r="I43" s="131"/>
      <c r="J43" s="131"/>
      <c r="K43" s="132"/>
      <c r="L43" s="133"/>
      <c r="O43" s="134">
        <f t="shared" si="1"/>
        <v>0</v>
      </c>
      <c r="P43" s="135"/>
      <c r="Q43" s="135"/>
      <c r="R43" s="136"/>
    </row>
    <row r="44" spans="2:18" ht="12.75">
      <c r="B44" s="125" t="s">
        <v>78</v>
      </c>
      <c r="C44" s="126" t="str">
        <f>IF($D$12="m","[kg]","[pounds]")</f>
        <v>[pounds]</v>
      </c>
      <c r="D44" s="127">
        <v>0</v>
      </c>
      <c r="E44" s="128">
        <f t="shared" si="2"/>
        <v>0</v>
      </c>
      <c r="F44" s="129">
        <v>0</v>
      </c>
      <c r="G44" s="130">
        <f>E44*130*IF($D$12="m",1,0.454)*$F$27*$D$252*$D$250*$C$265</f>
        <v>0</v>
      </c>
      <c r="H44" s="130">
        <f>IF(D$12="s",0.454,IF(D$12="m",1))*E44*C224*$D$252</f>
        <v>0</v>
      </c>
      <c r="I44" s="130">
        <f>IF(D$12="s",0.454,IF(D$12="m",1))*E44*D224*$D$252</f>
        <v>0</v>
      </c>
      <c r="J44" s="131"/>
      <c r="K44" s="132"/>
      <c r="L44" s="133"/>
      <c r="O44" s="134">
        <f t="shared" si="1"/>
        <v>0</v>
      </c>
      <c r="P44" s="135"/>
      <c r="Q44" s="135"/>
      <c r="R44" s="136"/>
    </row>
    <row r="45" spans="2:18" ht="12.75">
      <c r="B45" s="125" t="s">
        <v>79</v>
      </c>
      <c r="C45" s="126" t="str">
        <f>IF($D$12="m","[kg]","[pounds]")</f>
        <v>[pounds]</v>
      </c>
      <c r="D45" s="127">
        <v>0</v>
      </c>
      <c r="E45" s="128">
        <f t="shared" si="2"/>
        <v>0</v>
      </c>
      <c r="F45" s="129">
        <v>0</v>
      </c>
      <c r="G45" s="130">
        <f>E45*150*IF($D$12="m",1,0.454)*$F$27*$D$252*$D$250*$C$265</f>
        <v>0</v>
      </c>
      <c r="H45" s="131"/>
      <c r="I45" s="131"/>
      <c r="J45" s="131"/>
      <c r="K45" s="132"/>
      <c r="L45" s="146">
        <f>IF(D$12="s",0.454,IF(D$12="m",1))*E45*C226*$D$252</f>
        <v>0</v>
      </c>
      <c r="O45" s="134">
        <f t="shared" si="1"/>
        <v>0</v>
      </c>
      <c r="P45" s="135"/>
      <c r="Q45" s="135"/>
      <c r="R45" s="136"/>
    </row>
    <row r="46" spans="2:18" ht="12.75">
      <c r="B46" s="125" t="s">
        <v>80</v>
      </c>
      <c r="C46" s="126" t="str">
        <f>IF($D$12="m","[kg]","[pounds]")</f>
        <v>[pounds]</v>
      </c>
      <c r="D46" s="127">
        <v>0</v>
      </c>
      <c r="E46" s="128">
        <f t="shared" si="2"/>
        <v>0</v>
      </c>
      <c r="F46" s="129">
        <v>0</v>
      </c>
      <c r="G46" s="130">
        <f>E46*15*IF($D$12="m",1,0.454)*$F$27*$D$252*$D$250*$C$265</f>
        <v>0</v>
      </c>
      <c r="H46" s="130">
        <f>IF(D$12="s",0.454,IF(D$12="m",1))*E46*C227*$D$252</f>
        <v>0</v>
      </c>
      <c r="I46" s="131"/>
      <c r="J46" s="131"/>
      <c r="K46" s="132"/>
      <c r="L46" s="133"/>
      <c r="O46" s="134">
        <f t="shared" si="1"/>
        <v>0</v>
      </c>
      <c r="P46" s="135"/>
      <c r="Q46" s="135"/>
      <c r="R46" s="136"/>
    </row>
    <row r="47" spans="2:18" ht="12.75">
      <c r="B47" s="147" t="s">
        <v>81</v>
      </c>
      <c r="C47" s="148" t="str">
        <f>IF($D$12="m","[l]","[quarts]")</f>
        <v>[quarts]</v>
      </c>
      <c r="D47" s="127">
        <v>0</v>
      </c>
      <c r="E47" s="128">
        <f t="shared" si="2"/>
        <v>0</v>
      </c>
      <c r="F47" s="129">
        <v>0</v>
      </c>
      <c r="G47" s="130">
        <f>E47*0.8*30*IF($D$12="m",1,2*0.473)*$F$27*$D$252*$D$250*$C$265</f>
        <v>0</v>
      </c>
      <c r="H47" s="130">
        <f>IF(D$12="s",0.946,IF(D$12="m",1))*(E47*0.8)*C228*$D$252</f>
        <v>0</v>
      </c>
      <c r="I47" s="131"/>
      <c r="J47" s="131"/>
      <c r="K47" s="132"/>
      <c r="L47" s="133"/>
      <c r="O47" s="134">
        <f t="shared" si="1"/>
        <v>0</v>
      </c>
      <c r="P47" s="135"/>
      <c r="Q47" s="135"/>
      <c r="R47" s="136"/>
    </row>
    <row r="48" spans="2:18" ht="12.75">
      <c r="B48" s="147" t="s">
        <v>82</v>
      </c>
      <c r="C48" s="126" t="str">
        <f>IF($D$12="m","[kg]","[pounds]")</f>
        <v>[pounds]</v>
      </c>
      <c r="D48" s="127">
        <v>0</v>
      </c>
      <c r="E48" s="128">
        <f t="shared" si="2"/>
        <v>0</v>
      </c>
      <c r="F48" s="129">
        <v>0</v>
      </c>
      <c r="G48" s="130">
        <f>E48*30*IF($D$12="m",1,0.454)*$F$27*$D$252*$D$250*$C$265</f>
        <v>0</v>
      </c>
      <c r="H48" s="130">
        <f>IF(D$12="s",0.454,IF(D$12="m",1))*E48*C229*$D$252</f>
        <v>0</v>
      </c>
      <c r="I48" s="131"/>
      <c r="J48" s="131"/>
      <c r="K48" s="132"/>
      <c r="L48" s="133"/>
      <c r="O48" s="134">
        <f t="shared" si="1"/>
        <v>0</v>
      </c>
      <c r="P48" s="135"/>
      <c r="Q48" s="135"/>
      <c r="R48" s="136"/>
    </row>
    <row r="49" spans="2:18" ht="12.75">
      <c r="B49" s="125" t="s">
        <v>83</v>
      </c>
      <c r="C49" s="148" t="str">
        <f>IF($D$12="m","[kg]","[pounds]")</f>
        <v>[pounds]</v>
      </c>
      <c r="D49" s="127">
        <v>0</v>
      </c>
      <c r="E49" s="128">
        <f t="shared" si="2"/>
        <v>0</v>
      </c>
      <c r="F49" s="129">
        <v>0</v>
      </c>
      <c r="G49" s="130">
        <f>E49*65*IF($D$12="m",1,0.454)*$F$27*$D$252*$D$250*$C$265</f>
        <v>0</v>
      </c>
      <c r="H49" s="130">
        <f>IF(D$12="s",0.454,IF(D$12="m",1))*E49*C230*$D$252</f>
        <v>0</v>
      </c>
      <c r="I49" s="149"/>
      <c r="J49" s="131"/>
      <c r="K49" s="132"/>
      <c r="L49" s="133"/>
      <c r="O49" s="134">
        <f t="shared" si="1"/>
        <v>0</v>
      </c>
      <c r="P49" s="135"/>
      <c r="Q49" s="135"/>
      <c r="R49" s="136"/>
    </row>
    <row r="50" spans="2:18" ht="12.75">
      <c r="B50" s="125" t="s">
        <v>84</v>
      </c>
      <c r="C50" s="126" t="str">
        <f>IF($D$12="m","[l]","[quarts]")</f>
        <v>[quarts]</v>
      </c>
      <c r="D50" s="127">
        <v>0</v>
      </c>
      <c r="E50" s="150">
        <f t="shared" si="2"/>
        <v>0</v>
      </c>
      <c r="F50" s="129">
        <v>0</v>
      </c>
      <c r="G50" s="130">
        <f>E50*25*IF($D$12="m",1,2*0.473)*$F$27*$D$252*$D$250*$C$265</f>
        <v>0</v>
      </c>
      <c r="H50" s="130">
        <f>IF(D$12="s",0.946,IF(D$12="m",1))*(E50*1)*C231*$D$252</f>
        <v>0</v>
      </c>
      <c r="I50" s="131"/>
      <c r="J50" s="131"/>
      <c r="K50" s="132"/>
      <c r="L50" s="133"/>
      <c r="O50" s="134">
        <f t="shared" si="1"/>
        <v>0</v>
      </c>
      <c r="P50" s="135"/>
      <c r="Q50" s="135"/>
      <c r="R50" s="136"/>
    </row>
    <row r="51" spans="2:18" ht="12.75">
      <c r="B51" s="137" t="s">
        <v>85</v>
      </c>
      <c r="C51" s="151" t="str">
        <f>IF($D$12="m","[l]","[quarts]")</f>
        <v>[quarts]</v>
      </c>
      <c r="D51" s="127">
        <v>0</v>
      </c>
      <c r="E51" s="128">
        <f t="shared" si="2"/>
        <v>0</v>
      </c>
      <c r="F51" s="129">
        <v>0</v>
      </c>
      <c r="G51" s="130">
        <f>E51*25*IF($D$12="m",1,2*0.473)*$F$27*$D$252*$D$250*$C$265</f>
        <v>0</v>
      </c>
      <c r="H51" s="130">
        <f>IF(D$12="s",0.946,IF(D$12="m",1))*(E51*1)*C232*$D$252</f>
        <v>0</v>
      </c>
      <c r="I51" s="131"/>
      <c r="J51" s="131"/>
      <c r="K51" s="132"/>
      <c r="L51" s="133"/>
      <c r="O51" s="134">
        <f t="shared" si="1"/>
        <v>0</v>
      </c>
      <c r="P51" s="135"/>
      <c r="Q51" s="135"/>
      <c r="R51" s="136"/>
    </row>
    <row r="52" spans="2:18" ht="12.75">
      <c r="B52" s="125" t="s">
        <v>86</v>
      </c>
      <c r="C52" s="126" t="str">
        <f>IF($D$12="m","[m2]","[sqr ft]")</f>
        <v>[sqr ft]</v>
      </c>
      <c r="D52" s="127">
        <v>0</v>
      </c>
      <c r="E52" s="128">
        <f>D52</f>
        <v>0</v>
      </c>
      <c r="F52" s="129">
        <v>0</v>
      </c>
      <c r="G52" s="152"/>
      <c r="H52" s="130">
        <f>E52*IF($D$12="m",1,0.3048*0.3048)*$C$266</f>
        <v>0</v>
      </c>
      <c r="I52" s="143"/>
      <c r="J52" s="143"/>
      <c r="K52" s="144"/>
      <c r="L52" s="145"/>
      <c r="O52" s="134">
        <f t="shared" si="1"/>
        <v>0</v>
      </c>
      <c r="P52" s="135"/>
      <c r="Q52" s="135"/>
      <c r="R52" s="136"/>
    </row>
    <row r="53" spans="2:18" ht="13.5" thickBot="1">
      <c r="B53" s="153" t="s">
        <v>87</v>
      </c>
      <c r="C53" s="154" t="s">
        <v>88</v>
      </c>
      <c r="D53" s="139">
        <v>0</v>
      </c>
      <c r="E53" s="128">
        <f>D53*12</f>
        <v>0</v>
      </c>
      <c r="F53" s="155">
        <v>0</v>
      </c>
      <c r="G53" s="156">
        <f>E53*8*$F$27*$D$252*$D$250*$C$265</f>
        <v>0</v>
      </c>
      <c r="H53" s="156">
        <f>(E53/6)*0.5*SUM(H32:H52)/365</f>
        <v>0</v>
      </c>
      <c r="I53" s="156">
        <f>(E53/6)*0.5*(SUM(I32:I52)/365)</f>
        <v>0</v>
      </c>
      <c r="J53" s="143"/>
      <c r="K53" s="144"/>
      <c r="L53" s="157">
        <f>(E53/6)*0.5*(L45)/365</f>
        <v>0</v>
      </c>
      <c r="O53" s="134">
        <f t="shared" si="1"/>
        <v>0</v>
      </c>
      <c r="P53" s="135"/>
      <c r="Q53" s="135"/>
      <c r="R53" s="136"/>
    </row>
    <row r="54" spans="2:18" ht="13.5" thickBot="1">
      <c r="B54" s="158" t="s">
        <v>89</v>
      </c>
      <c r="C54" s="159"/>
      <c r="D54" s="160"/>
      <c r="E54" s="160"/>
      <c r="F54" s="161">
        <f aca="true" t="shared" si="3" ref="F54:L54">+SUM(F32:F53)</f>
        <v>0</v>
      </c>
      <c r="G54" s="162">
        <f t="shared" si="3"/>
        <v>0</v>
      </c>
      <c r="H54" s="163">
        <f t="shared" si="3"/>
        <v>0</v>
      </c>
      <c r="I54" s="163">
        <f t="shared" si="3"/>
        <v>0</v>
      </c>
      <c r="J54" s="163">
        <f t="shared" si="3"/>
        <v>0</v>
      </c>
      <c r="K54" s="164">
        <f t="shared" si="3"/>
        <v>0</v>
      </c>
      <c r="L54" s="165">
        <f t="shared" si="3"/>
        <v>0</v>
      </c>
      <c r="O54" s="166">
        <f t="shared" si="1"/>
        <v>0</v>
      </c>
      <c r="P54" s="135"/>
      <c r="Q54" s="135"/>
      <c r="R54" s="136"/>
    </row>
    <row r="55" spans="2:18" ht="13.5" thickTop="1">
      <c r="B55" s="95" t="s">
        <v>90</v>
      </c>
      <c r="C55" s="167"/>
      <c r="D55" s="168"/>
      <c r="E55" s="169"/>
      <c r="F55" s="170"/>
      <c r="G55" s="171"/>
      <c r="H55" s="172"/>
      <c r="I55" s="172"/>
      <c r="J55" s="171"/>
      <c r="K55" s="171"/>
      <c r="L55" s="173"/>
      <c r="N55" s="24"/>
      <c r="O55" s="134"/>
      <c r="P55" s="135"/>
      <c r="Q55" s="135"/>
      <c r="R55" s="136"/>
    </row>
    <row r="56" spans="2:18" ht="12.75">
      <c r="B56" s="174"/>
      <c r="C56" s="18"/>
      <c r="D56" s="168"/>
      <c r="E56" s="169"/>
      <c r="F56" s="175"/>
      <c r="G56" s="171"/>
      <c r="H56" s="171"/>
      <c r="I56" s="171"/>
      <c r="J56" s="175"/>
      <c r="K56" s="171"/>
      <c r="L56" s="176"/>
      <c r="O56" s="134"/>
      <c r="P56" s="135"/>
      <c r="Q56" s="135"/>
      <c r="R56" s="136"/>
    </row>
    <row r="57" spans="2:18" ht="14.25">
      <c r="B57" s="177" t="s">
        <v>91</v>
      </c>
      <c r="C57" s="103"/>
      <c r="D57" s="168"/>
      <c r="E57" s="169"/>
      <c r="F57" s="178"/>
      <c r="G57" s="171"/>
      <c r="H57" s="171"/>
      <c r="I57" s="171"/>
      <c r="J57" s="175"/>
      <c r="K57" s="171"/>
      <c r="L57" s="176"/>
      <c r="O57" s="134"/>
      <c r="P57" s="135"/>
      <c r="Q57" s="135"/>
      <c r="R57" s="136"/>
    </row>
    <row r="58" spans="2:18" ht="12.75">
      <c r="B58" s="179" t="s">
        <v>92</v>
      </c>
      <c r="C58" s="126" t="str">
        <f>IF($D$12="m","[m2]","[sqr ft]")</f>
        <v>[sqr ft]</v>
      </c>
      <c r="D58" s="180">
        <v>0</v>
      </c>
      <c r="E58" s="181">
        <f>D58</f>
        <v>0</v>
      </c>
      <c r="F58" s="182">
        <v>0</v>
      </c>
      <c r="G58" s="183">
        <f>E58*(1310/350/IF($D$59=0,40,IF($D$59&lt;40,40,$D$59)))*IF($D$12="m",1,0.3048*0.3048)*($D$250*1000)*$C$265</f>
        <v>0</v>
      </c>
      <c r="H58" s="132"/>
      <c r="I58" s="184"/>
      <c r="J58" s="185">
        <f>E58*(C$238)*((23.6*2.2)/150/IF($D$59=0,40,IF($D$59&lt;40,40,$D$59)))*IF($D$12="m",1,0.3048*0.3048)</f>
        <v>0</v>
      </c>
      <c r="K58" s="186"/>
      <c r="L58" s="133"/>
      <c r="O58" s="134">
        <f>+F58*E$9/60</f>
        <v>0</v>
      </c>
      <c r="P58" s="135"/>
      <c r="Q58" s="135"/>
      <c r="R58" s="136"/>
    </row>
    <row r="59" spans="2:18" ht="12.75">
      <c r="B59" s="187" t="s">
        <v>93</v>
      </c>
      <c r="C59" s="126" t="s">
        <v>94</v>
      </c>
      <c r="D59" s="180">
        <v>0</v>
      </c>
      <c r="E59" s="128"/>
      <c r="F59" s="188"/>
      <c r="G59" s="149"/>
      <c r="H59" s="132"/>
      <c r="I59" s="189"/>
      <c r="J59" s="190"/>
      <c r="K59" s="186"/>
      <c r="L59" s="133"/>
      <c r="O59" s="134"/>
      <c r="P59" s="135"/>
      <c r="Q59" s="135"/>
      <c r="R59" s="136"/>
    </row>
    <row r="60" spans="2:18" ht="12.75">
      <c r="B60" s="125" t="s">
        <v>95</v>
      </c>
      <c r="C60" s="138" t="str">
        <f>IF($D$12="m","[kg]","[pounds]")</f>
        <v>[pounds]</v>
      </c>
      <c r="D60" s="191">
        <v>0</v>
      </c>
      <c r="E60" s="128">
        <f>12*D60</f>
        <v>0</v>
      </c>
      <c r="F60" s="129">
        <v>0</v>
      </c>
      <c r="G60" s="130">
        <f>E60*5*IF($D$12="m",1,0.454)*$D$250*$C$265</f>
        <v>0</v>
      </c>
      <c r="H60" s="132"/>
      <c r="I60" s="132"/>
      <c r="J60" s="185">
        <f>E60*(C$238/600)*2.2*IF($D$12="m",1,0.454)</f>
        <v>0</v>
      </c>
      <c r="K60" s="192"/>
      <c r="L60" s="145"/>
      <c r="N60" s="193"/>
      <c r="O60" s="134">
        <f>+F60*E$9/60</f>
        <v>0</v>
      </c>
      <c r="P60" s="135"/>
      <c r="Q60" s="135"/>
      <c r="R60" s="136"/>
    </row>
    <row r="61" spans="2:18" ht="12.75">
      <c r="B61" s="194" t="s">
        <v>96</v>
      </c>
      <c r="C61" s="154" t="str">
        <f>IF($D$12="m","[m2]","[sqr ft]")</f>
        <v>[sqr ft]</v>
      </c>
      <c r="D61" s="195">
        <v>0</v>
      </c>
      <c r="E61" s="128">
        <f>D61</f>
        <v>0</v>
      </c>
      <c r="F61" s="196">
        <v>0</v>
      </c>
      <c r="G61" s="197"/>
      <c r="H61" s="197"/>
      <c r="I61" s="189"/>
      <c r="J61" s="197"/>
      <c r="K61" s="198">
        <f>(E61-E52)*IF($D$12="m",1,0.3048*0.3048)*$C$269*$D$269</f>
        <v>0</v>
      </c>
      <c r="L61" s="145"/>
      <c r="O61" s="134">
        <f>+F61*E$9/60</f>
        <v>0</v>
      </c>
      <c r="P61" s="135"/>
      <c r="Q61" s="135"/>
      <c r="R61" s="136"/>
    </row>
    <row r="62" spans="2:18" ht="12.75">
      <c r="B62" s="194"/>
      <c r="C62" s="154"/>
      <c r="D62" s="199"/>
      <c r="E62" s="128"/>
      <c r="F62" s="196"/>
      <c r="G62" s="200"/>
      <c r="H62" s="197"/>
      <c r="I62" s="201"/>
      <c r="J62" s="197"/>
      <c r="K62" s="202"/>
      <c r="L62" s="145"/>
      <c r="O62" s="134"/>
      <c r="P62" s="135"/>
      <c r="Q62" s="135"/>
      <c r="R62" s="136"/>
    </row>
    <row r="63" spans="2:18" ht="14.25">
      <c r="B63" s="203" t="s">
        <v>97</v>
      </c>
      <c r="C63" s="154"/>
      <c r="D63" s="199"/>
      <c r="E63" s="128"/>
      <c r="F63" s="196"/>
      <c r="G63" s="200"/>
      <c r="H63" s="197"/>
      <c r="I63" s="204"/>
      <c r="J63" s="197"/>
      <c r="K63" s="202"/>
      <c r="L63" s="145"/>
      <c r="O63" s="134"/>
      <c r="P63" s="135"/>
      <c r="Q63" s="135"/>
      <c r="R63" s="136"/>
    </row>
    <row r="64" spans="2:18" ht="12.75">
      <c r="B64" s="194" t="s">
        <v>98</v>
      </c>
      <c r="C64" s="126" t="s">
        <v>99</v>
      </c>
      <c r="D64" s="180">
        <v>0</v>
      </c>
      <c r="E64" s="128">
        <f>12*D64</f>
        <v>0</v>
      </c>
      <c r="F64" s="188">
        <v>0</v>
      </c>
      <c r="G64" s="144"/>
      <c r="H64" s="144"/>
      <c r="I64" s="205"/>
      <c r="J64" s="144"/>
      <c r="K64" s="192"/>
      <c r="L64" s="145"/>
      <c r="O64" s="134">
        <f>+F64*E$9/60</f>
        <v>0</v>
      </c>
      <c r="P64" s="135"/>
      <c r="Q64" s="135"/>
      <c r="R64" s="136"/>
    </row>
    <row r="65" spans="2:18" ht="12.75">
      <c r="B65" s="206" t="s">
        <v>100</v>
      </c>
      <c r="C65" s="138"/>
      <c r="D65" s="18"/>
      <c r="E65" s="128"/>
      <c r="F65" s="207"/>
      <c r="G65" s="143"/>
      <c r="H65" s="144"/>
      <c r="I65" s="144"/>
      <c r="J65" s="144"/>
      <c r="K65" s="192"/>
      <c r="L65" s="145"/>
      <c r="O65" s="134"/>
      <c r="P65" s="135"/>
      <c r="Q65" s="135"/>
      <c r="R65" s="136"/>
    </row>
    <row r="66" spans="2:18" ht="15">
      <c r="B66" s="125" t="s">
        <v>101</v>
      </c>
      <c r="C66" s="126"/>
      <c r="D66" s="208">
        <f>69.5%-0.02%</f>
        <v>0.6948</v>
      </c>
      <c r="E66" s="209"/>
      <c r="F66" s="207"/>
      <c r="G66" s="130">
        <f>(D66*$E$64)*3.6/0.3*$D$250*$C$265</f>
        <v>0</v>
      </c>
      <c r="H66" s="132"/>
      <c r="I66" s="132"/>
      <c r="J66" s="132"/>
      <c r="K66" s="210"/>
      <c r="L66" s="133"/>
      <c r="O66" s="134"/>
      <c r="P66" s="135"/>
      <c r="Q66" s="135"/>
      <c r="R66" s="136"/>
    </row>
    <row r="67" spans="2:18" ht="15">
      <c r="B67" s="125" t="s">
        <v>102</v>
      </c>
      <c r="C67" s="126"/>
      <c r="D67" s="208">
        <v>0.197</v>
      </c>
      <c r="E67" s="209"/>
      <c r="F67" s="207"/>
      <c r="G67" s="130">
        <f>(D67*$E$64)*3.6/0.3*$D$250*$C$265</f>
        <v>0</v>
      </c>
      <c r="H67" s="132"/>
      <c r="I67" s="132"/>
      <c r="J67" s="132"/>
      <c r="K67" s="210"/>
      <c r="L67" s="133"/>
      <c r="O67" s="134"/>
      <c r="P67" s="135"/>
      <c r="Q67" s="135"/>
      <c r="R67" s="136"/>
    </row>
    <row r="68" spans="2:18" ht="15">
      <c r="B68" s="125" t="s">
        <v>103</v>
      </c>
      <c r="C68" s="126"/>
      <c r="D68" s="208">
        <v>0.086</v>
      </c>
      <c r="E68" s="211">
        <f>IF(SUM(D66:D75)=1,"","does")</f>
      </c>
      <c r="F68" s="212"/>
      <c r="G68" s="132"/>
      <c r="H68" s="184"/>
      <c r="I68" s="184"/>
      <c r="J68" s="184"/>
      <c r="K68" s="213">
        <f>(D68*$E$64)*3.6*(10000/200000)</f>
        <v>0</v>
      </c>
      <c r="L68" s="133"/>
      <c r="O68" s="134"/>
      <c r="P68" s="135"/>
      <c r="Q68" s="135"/>
      <c r="R68" s="136"/>
    </row>
    <row r="69" spans="2:18" ht="15">
      <c r="B69" s="125" t="s">
        <v>104</v>
      </c>
      <c r="C69" s="126"/>
      <c r="D69" s="214">
        <v>0</v>
      </c>
      <c r="E69" s="211">
        <f>IF(SUM(D66:D75)=1,"","not")</f>
      </c>
      <c r="F69" s="212"/>
      <c r="G69" s="132"/>
      <c r="H69" s="132"/>
      <c r="I69" s="185">
        <f>(D69*$E$64)*3.6*(10000/15000000)*$C$267</f>
        <v>0</v>
      </c>
      <c r="J69" s="132"/>
      <c r="K69" s="210"/>
      <c r="L69" s="133"/>
      <c r="O69" s="134"/>
      <c r="P69" s="135"/>
      <c r="Q69" s="135"/>
      <c r="R69" s="136"/>
    </row>
    <row r="70" spans="2:18" ht="15">
      <c r="B70" s="125" t="s">
        <v>105</v>
      </c>
      <c r="C70" s="154"/>
      <c r="D70" s="215">
        <v>0.0002</v>
      </c>
      <c r="E70" s="211">
        <f>IF(SUM(D66:D75)=1,"","to")</f>
      </c>
      <c r="F70" s="142"/>
      <c r="G70" s="144"/>
      <c r="H70" s="144"/>
      <c r="I70" s="197"/>
      <c r="J70" s="144"/>
      <c r="K70" s="216">
        <f>(D70*$E$64)*24/(0.75*3000)*$C$269*$D$269</f>
        <v>0</v>
      </c>
      <c r="L70" s="145"/>
      <c r="O70" s="134"/>
      <c r="P70" s="135"/>
      <c r="Q70" s="135"/>
      <c r="R70" s="136"/>
    </row>
    <row r="71" spans="2:18" ht="15">
      <c r="B71" s="125" t="s">
        <v>106</v>
      </c>
      <c r="C71" s="154"/>
      <c r="D71" s="214">
        <v>0</v>
      </c>
      <c r="E71" s="211">
        <f>IF(SUM(D66:D75)=1,"","add up")</f>
      </c>
      <c r="F71" s="142"/>
      <c r="G71" s="144"/>
      <c r="H71" s="144"/>
      <c r="I71" s="197"/>
      <c r="J71" s="144"/>
      <c r="K71" s="217"/>
      <c r="L71" s="145"/>
      <c r="N71" s="218"/>
      <c r="O71" s="134"/>
      <c r="P71" s="135"/>
      <c r="Q71" s="135"/>
      <c r="R71" s="136"/>
    </row>
    <row r="72" spans="2:18" ht="15">
      <c r="B72" s="125" t="s">
        <v>107</v>
      </c>
      <c r="C72" s="219"/>
      <c r="D72" s="220">
        <v>0.001</v>
      </c>
      <c r="E72" s="211">
        <f>IF(SUM(D66:D75)=1,"","100 %")</f>
      </c>
      <c r="F72" s="142"/>
      <c r="G72" s="144"/>
      <c r="H72" s="144"/>
      <c r="I72" s="197"/>
      <c r="J72" s="144"/>
      <c r="K72" s="216">
        <f>(D72*$E$64)*(48950/(5.55*10^9))*0.05*C267*D267</f>
        <v>0</v>
      </c>
      <c r="L72" s="145"/>
      <c r="O72" s="134"/>
      <c r="P72" s="135"/>
      <c r="Q72" s="135"/>
      <c r="R72" s="136"/>
    </row>
    <row r="73" spans="2:18" ht="15">
      <c r="B73" s="194" t="s">
        <v>108</v>
      </c>
      <c r="C73" s="154"/>
      <c r="D73" s="221">
        <v>0.005</v>
      </c>
      <c r="E73" s="211">
        <f>IF(SUM(D66:D75)=1,"","but")</f>
      </c>
      <c r="F73" s="142"/>
      <c r="G73" s="144"/>
      <c r="H73" s="144"/>
      <c r="I73" s="197"/>
      <c r="J73" s="144"/>
      <c r="K73" s="202"/>
      <c r="L73" s="145"/>
      <c r="O73" s="134"/>
      <c r="P73" s="135"/>
      <c r="Q73" s="135"/>
      <c r="R73" s="136"/>
    </row>
    <row r="74" spans="2:18" ht="15">
      <c r="B74" s="194" t="s">
        <v>109</v>
      </c>
      <c r="C74" s="154"/>
      <c r="D74" s="222">
        <v>0.01</v>
      </c>
      <c r="E74" s="223">
        <f>IF(SUM(D66:D75)=1,"",SUM(D66:D75))</f>
      </c>
      <c r="F74" s="142"/>
      <c r="G74" s="224"/>
      <c r="H74" s="144"/>
      <c r="I74" s="197"/>
      <c r="J74" s="144"/>
      <c r="K74" s="202"/>
      <c r="L74" s="145"/>
      <c r="O74" s="134"/>
      <c r="P74" s="135"/>
      <c r="Q74" s="135"/>
      <c r="R74" s="136"/>
    </row>
    <row r="75" spans="2:18" ht="15">
      <c r="B75" s="194" t="s">
        <v>110</v>
      </c>
      <c r="C75" s="154"/>
      <c r="D75" s="221">
        <v>0.006</v>
      </c>
      <c r="E75" s="225"/>
      <c r="F75" s="142"/>
      <c r="G75" s="143"/>
      <c r="H75" s="144"/>
      <c r="I75" s="197"/>
      <c r="J75" s="144"/>
      <c r="K75" s="202"/>
      <c r="L75" s="145"/>
      <c r="O75" s="134"/>
      <c r="P75" s="135"/>
      <c r="Q75" s="135"/>
      <c r="R75" s="136"/>
    </row>
    <row r="76" spans="2:18" ht="12.75">
      <c r="B76" s="147" t="s">
        <v>111</v>
      </c>
      <c r="C76" s="226" t="str">
        <f>IF($D$12="m","[m3]","[therms]")</f>
        <v>[therms]</v>
      </c>
      <c r="D76" s="227">
        <v>0</v>
      </c>
      <c r="E76" s="128">
        <f aca="true" t="shared" si="4" ref="E76:E81">12*D76</f>
        <v>0</v>
      </c>
      <c r="F76" s="129">
        <v>0</v>
      </c>
      <c r="G76" s="130">
        <f>E76*29.3*(D$251)*3.6*IF($D$12="m",1.1/0.3048^3/100,1)*$C$265</f>
        <v>0</v>
      </c>
      <c r="H76" s="144"/>
      <c r="I76" s="144"/>
      <c r="J76" s="144"/>
      <c r="K76" s="192"/>
      <c r="L76" s="145"/>
      <c r="O76" s="134">
        <f aca="true" t="shared" si="5" ref="O76:O82">+F76*E$9/60</f>
        <v>0</v>
      </c>
      <c r="P76" s="135"/>
      <c r="Q76" s="135"/>
      <c r="R76" s="136"/>
    </row>
    <row r="77" spans="2:18" ht="12.75">
      <c r="B77" s="194" t="s">
        <v>112</v>
      </c>
      <c r="C77" s="148" t="str">
        <f>IF($D$12="m","[l]","[gallons]")</f>
        <v>[gallons]</v>
      </c>
      <c r="D77" s="227">
        <v>0</v>
      </c>
      <c r="E77" s="128">
        <f t="shared" si="4"/>
        <v>0</v>
      </c>
      <c r="F77" s="129">
        <v>0</v>
      </c>
      <c r="G77" s="130">
        <f>E77*25*(D$251)*IF($D$12="m",1,8*0.473)*$C$265</f>
        <v>0</v>
      </c>
      <c r="H77" s="228"/>
      <c r="I77" s="144"/>
      <c r="J77" s="144"/>
      <c r="K77" s="192"/>
      <c r="L77" s="145"/>
      <c r="O77" s="134">
        <f t="shared" si="5"/>
        <v>0</v>
      </c>
      <c r="P77" s="135"/>
      <c r="Q77" s="135"/>
      <c r="R77" s="136"/>
    </row>
    <row r="78" spans="2:18" ht="12.75">
      <c r="B78" s="125" t="s">
        <v>113</v>
      </c>
      <c r="C78" s="126" t="str">
        <f>IF($D$12="m","[kg]","[pounds]")</f>
        <v>[pounds]</v>
      </c>
      <c r="D78" s="227">
        <v>0</v>
      </c>
      <c r="E78" s="128">
        <f t="shared" si="4"/>
        <v>0</v>
      </c>
      <c r="F78" s="129">
        <v>0</v>
      </c>
      <c r="G78" s="229"/>
      <c r="H78" s="144"/>
      <c r="I78" s="144"/>
      <c r="J78" s="230">
        <f>E78*(C$238/600)*0.53*IF($D$12="m",1,0.454)/1.6</f>
        <v>0</v>
      </c>
      <c r="K78" s="192"/>
      <c r="L78" s="145"/>
      <c r="N78" s="193"/>
      <c r="O78" s="134">
        <f t="shared" si="5"/>
        <v>0</v>
      </c>
      <c r="P78" s="135"/>
      <c r="Q78" s="135"/>
      <c r="R78" s="136"/>
    </row>
    <row r="79" spans="2:18" ht="12.75">
      <c r="B79" s="147" t="s">
        <v>114</v>
      </c>
      <c r="C79" s="126" t="str">
        <f>IF($D$12="m","[l]","[gallons]")</f>
        <v>[gallons]</v>
      </c>
      <c r="D79" s="227">
        <v>0</v>
      </c>
      <c r="E79" s="128">
        <f t="shared" si="4"/>
        <v>0</v>
      </c>
      <c r="F79" s="129">
        <v>0</v>
      </c>
      <c r="G79" s="130">
        <f>E79*35*IF($D$12="m",1,8*0.473)*$D$250*$C$265</f>
        <v>0</v>
      </c>
      <c r="H79" s="132"/>
      <c r="I79" s="132"/>
      <c r="J79" s="132"/>
      <c r="K79" s="210"/>
      <c r="L79" s="145"/>
      <c r="O79" s="134">
        <f t="shared" si="5"/>
        <v>0</v>
      </c>
      <c r="P79" s="135"/>
      <c r="Q79" s="135"/>
      <c r="R79" s="136"/>
    </row>
    <row r="80" spans="2:18" ht="12.75">
      <c r="B80" s="125" t="s">
        <v>115</v>
      </c>
      <c r="C80" s="126" t="str">
        <f>IF($D$12="m","[kg]","[pounds]")</f>
        <v>[pounds]</v>
      </c>
      <c r="D80" s="227">
        <v>0</v>
      </c>
      <c r="E80" s="128">
        <f t="shared" si="4"/>
        <v>0</v>
      </c>
      <c r="F80" s="129">
        <v>0</v>
      </c>
      <c r="G80" s="130">
        <f>E80*(D$249)*20*IF($D$12="m",1,0.454)*$C$265</f>
        <v>0</v>
      </c>
      <c r="H80" s="132"/>
      <c r="I80" s="132"/>
      <c r="J80" s="132"/>
      <c r="K80" s="210"/>
      <c r="L80" s="145"/>
      <c r="O80" s="134">
        <f t="shared" si="5"/>
        <v>0</v>
      </c>
      <c r="P80" s="135"/>
      <c r="Q80" s="135"/>
      <c r="R80" s="136"/>
    </row>
    <row r="81" spans="2:18" ht="13.5" thickBot="1">
      <c r="B81" s="125" t="s">
        <v>116</v>
      </c>
      <c r="C81" s="154" t="str">
        <f>IF($D$12="m","[m3]","[gallons]")</f>
        <v>[gallons]</v>
      </c>
      <c r="D81" s="231">
        <v>0</v>
      </c>
      <c r="E81" s="232">
        <f t="shared" si="4"/>
        <v>0</v>
      </c>
      <c r="F81" s="233">
        <v>0</v>
      </c>
      <c r="G81" s="234"/>
      <c r="H81" s="144"/>
      <c r="I81" s="235"/>
      <c r="J81" s="236">
        <f>E81*(10000/1500)*IF($D$12="m",1,0.00378)*$C$268</f>
        <v>0</v>
      </c>
      <c r="K81" s="192"/>
      <c r="L81" s="237"/>
      <c r="N81" s="24"/>
      <c r="O81" s="134">
        <f t="shared" si="5"/>
        <v>0</v>
      </c>
      <c r="P81" s="135"/>
      <c r="Q81" s="135"/>
      <c r="R81" s="136"/>
    </row>
    <row r="82" spans="2:18" ht="13.5" thickBot="1">
      <c r="B82" s="238" t="s">
        <v>117</v>
      </c>
      <c r="C82" s="239"/>
      <c r="D82" s="160"/>
      <c r="E82" s="160"/>
      <c r="F82" s="240">
        <f>+SUM(F58:F81)</f>
        <v>0</v>
      </c>
      <c r="G82" s="241">
        <f>+SUM(G58:G81)</f>
        <v>0</v>
      </c>
      <c r="H82" s="242">
        <f>+SUM(H58:H81)</f>
        <v>0</v>
      </c>
      <c r="I82" s="243">
        <f>+SUM(I58:I81)</f>
        <v>0</v>
      </c>
      <c r="J82" s="244">
        <f>+SUM(J58:J80)</f>
        <v>0</v>
      </c>
      <c r="K82" s="244">
        <f>+SUM(K58:K81)</f>
        <v>0</v>
      </c>
      <c r="L82" s="245">
        <f>+SUM(L58:L81)</f>
        <v>0</v>
      </c>
      <c r="O82" s="246">
        <f t="shared" si="5"/>
        <v>0</v>
      </c>
      <c r="P82" s="247"/>
      <c r="Q82" s="247"/>
      <c r="R82" s="248"/>
    </row>
    <row r="83" spans="15:18" ht="13.5" thickTop="1">
      <c r="O83" s="249"/>
      <c r="P83" s="24"/>
      <c r="Q83" s="24"/>
      <c r="R83" s="24"/>
    </row>
    <row r="84" spans="3:18" ht="12.75">
      <c r="C84" s="53"/>
      <c r="D84" s="53"/>
      <c r="E84" s="250"/>
      <c r="O84" s="249"/>
      <c r="P84" s="24"/>
      <c r="Q84" s="24"/>
      <c r="R84" s="24"/>
    </row>
    <row r="85" spans="3:18" ht="13.5" thickBot="1">
      <c r="C85" s="53"/>
      <c r="D85" s="53"/>
      <c r="E85" s="250"/>
      <c r="O85" s="249"/>
      <c r="P85" s="24"/>
      <c r="Q85" s="24"/>
      <c r="R85" s="24"/>
    </row>
    <row r="86" spans="2:18" ht="24" thickTop="1">
      <c r="B86" s="251" t="s">
        <v>118</v>
      </c>
      <c r="C86" s="252"/>
      <c r="D86" s="253"/>
      <c r="E86" s="254"/>
      <c r="F86" s="255"/>
      <c r="G86" s="255"/>
      <c r="H86" s="256"/>
      <c r="I86" s="256"/>
      <c r="J86" s="257"/>
      <c r="K86" s="256"/>
      <c r="L86" s="258"/>
      <c r="O86" s="259" t="s">
        <v>54</v>
      </c>
      <c r="P86" s="256"/>
      <c r="Q86" s="256"/>
      <c r="R86" s="258"/>
    </row>
    <row r="87" spans="2:18" ht="15" customHeight="1" thickBot="1">
      <c r="B87" s="260"/>
      <c r="C87" s="261"/>
      <c r="D87" s="262"/>
      <c r="E87" s="263"/>
      <c r="F87" s="262"/>
      <c r="G87" s="262"/>
      <c r="H87" s="44"/>
      <c r="I87" s="44"/>
      <c r="J87" s="44"/>
      <c r="K87" s="44"/>
      <c r="L87" s="104"/>
      <c r="N87" s="24"/>
      <c r="O87" s="264" t="s">
        <v>60</v>
      </c>
      <c r="P87" s="103" t="s">
        <v>55</v>
      </c>
      <c r="Q87" s="103" t="s">
        <v>56</v>
      </c>
      <c r="R87" s="265" t="s">
        <v>57</v>
      </c>
    </row>
    <row r="88" spans="2:18" ht="13.5" thickTop="1">
      <c r="B88" s="266" t="s">
        <v>13</v>
      </c>
      <c r="C88" s="71" t="s">
        <v>14</v>
      </c>
      <c r="D88" s="72" t="s">
        <v>15</v>
      </c>
      <c r="E88" s="267" t="s">
        <v>16</v>
      </c>
      <c r="F88" s="73" t="s">
        <v>17</v>
      </c>
      <c r="G88" s="268" t="s">
        <v>18</v>
      </c>
      <c r="H88" s="77" t="s">
        <v>19</v>
      </c>
      <c r="I88" s="77" t="s">
        <v>20</v>
      </c>
      <c r="J88" s="77" t="s">
        <v>21</v>
      </c>
      <c r="K88" s="78" t="s">
        <v>22</v>
      </c>
      <c r="L88" s="79" t="s">
        <v>23</v>
      </c>
      <c r="O88" s="269" t="s">
        <v>63</v>
      </c>
      <c r="P88" s="167"/>
      <c r="Q88" s="103" t="s">
        <v>64</v>
      </c>
      <c r="R88" s="265"/>
    </row>
    <row r="89" spans="2:18" ht="13.5" thickBot="1">
      <c r="B89" s="270"/>
      <c r="C89" s="84"/>
      <c r="D89" s="85" t="s">
        <v>26</v>
      </c>
      <c r="E89" s="271" t="s">
        <v>27</v>
      </c>
      <c r="F89" s="272" t="s">
        <v>28</v>
      </c>
      <c r="G89" s="87" t="s">
        <v>29</v>
      </c>
      <c r="H89" s="87"/>
      <c r="I89" s="88"/>
      <c r="J89" s="87"/>
      <c r="K89" s="89" t="s">
        <v>30</v>
      </c>
      <c r="L89" s="90"/>
      <c r="O89" s="273"/>
      <c r="P89" s="274"/>
      <c r="Q89" s="274"/>
      <c r="R89" s="275"/>
    </row>
    <row r="90" spans="2:18" ht="13.5" thickTop="1">
      <c r="B90" s="102" t="s">
        <v>119</v>
      </c>
      <c r="C90" s="96"/>
      <c r="D90" s="168"/>
      <c r="E90" s="169"/>
      <c r="F90" s="171"/>
      <c r="G90" s="98" t="s">
        <v>34</v>
      </c>
      <c r="H90" s="99"/>
      <c r="I90" s="99"/>
      <c r="J90" s="99"/>
      <c r="K90" s="99"/>
      <c r="L90" s="100"/>
      <c r="O90" s="276"/>
      <c r="P90" s="256"/>
      <c r="Q90" s="256"/>
      <c r="R90" s="258"/>
    </row>
    <row r="91" spans="2:18" ht="12.75">
      <c r="B91" s="102"/>
      <c r="C91" s="96"/>
      <c r="D91" s="168"/>
      <c r="E91" s="169"/>
      <c r="F91" s="171"/>
      <c r="G91" s="171"/>
      <c r="H91" s="171"/>
      <c r="I91" s="171"/>
      <c r="J91" s="171"/>
      <c r="K91" s="171"/>
      <c r="L91" s="176"/>
      <c r="O91" s="277"/>
      <c r="P91" s="30"/>
      <c r="Q91" s="30"/>
      <c r="R91" s="278"/>
    </row>
    <row r="92" spans="2:18" ht="12.75">
      <c r="B92" s="125" t="s">
        <v>120</v>
      </c>
      <c r="C92" s="148" t="str">
        <f>IF($D$12="m","[pers.*km]","[pers*miles]")</f>
        <v>[pers*miles]</v>
      </c>
      <c r="D92" s="279">
        <v>0</v>
      </c>
      <c r="E92" s="128">
        <f>12*D92</f>
        <v>0</v>
      </c>
      <c r="F92" s="129">
        <v>0</v>
      </c>
      <c r="G92" s="130">
        <f>D$250*4.7*E92*IF($D$12="m",1,1.609)*C$265</f>
        <v>0</v>
      </c>
      <c r="H92" s="132"/>
      <c r="I92" s="132"/>
      <c r="J92" s="280"/>
      <c r="K92" s="281">
        <f>3.94*10^6*1609*25/(2.56*10^12)*0.003*E92/1.609*IF($D$12="m",1,1.609)*C$269*$D$269</f>
        <v>0</v>
      </c>
      <c r="L92" s="133"/>
      <c r="O92" s="134">
        <f>+F92*E$9/60</f>
        <v>0</v>
      </c>
      <c r="P92" s="135"/>
      <c r="Q92" s="135"/>
      <c r="R92" s="136"/>
    </row>
    <row r="93" spans="2:18" ht="12.75">
      <c r="B93" s="125" t="s">
        <v>121</v>
      </c>
      <c r="C93" s="148" t="str">
        <f>IF($D$12="m","[pers.*km]","[pers*miles]")</f>
        <v>[pers*miles]</v>
      </c>
      <c r="D93" s="279">
        <v>0</v>
      </c>
      <c r="E93" s="128">
        <f>12*D93</f>
        <v>0</v>
      </c>
      <c r="F93" s="129">
        <v>0</v>
      </c>
      <c r="G93" s="130">
        <f>D$250*1.1*E93*IF($D$12="m",1,1.609)*C$265</f>
        <v>0</v>
      </c>
      <c r="H93" s="132"/>
      <c r="I93" s="132"/>
      <c r="J93" s="280"/>
      <c r="K93" s="281">
        <f>3.94*10^6*1609*25/(2.56*10^12)*0.003*E93/1.609*IF($D$12="m",1,1.609)*C$269*$D$269</f>
        <v>0</v>
      </c>
      <c r="L93" s="133"/>
      <c r="O93" s="134">
        <f>+F93*E$9/60</f>
        <v>0</v>
      </c>
      <c r="P93" s="135"/>
      <c r="Q93" s="135"/>
      <c r="R93" s="136"/>
    </row>
    <row r="94" spans="2:18" ht="12.75">
      <c r="B94" s="125" t="s">
        <v>122</v>
      </c>
      <c r="C94" s="148" t="str">
        <f>IF($D$12="m","[pers.*km]","[pers*miles]")</f>
        <v>[pers*miles]</v>
      </c>
      <c r="D94" s="279">
        <v>0</v>
      </c>
      <c r="E94" s="128">
        <f>12*D94</f>
        <v>0</v>
      </c>
      <c r="F94" s="129">
        <v>0</v>
      </c>
      <c r="G94" s="130">
        <f>D$250*3*E94*IF($D$12="m",1,1.609)*C$265</f>
        <v>0</v>
      </c>
      <c r="H94" s="132"/>
      <c r="I94" s="132"/>
      <c r="J94" s="280"/>
      <c r="K94" s="282">
        <f>6603*1609*15/(2.11*10^10)*E94/1.609*IF($D$12="m",1,1.609)*C$269*$D$269</f>
        <v>0</v>
      </c>
      <c r="L94" s="283"/>
      <c r="O94" s="134">
        <f>+F94*E$9/60</f>
        <v>0</v>
      </c>
      <c r="P94" s="135"/>
      <c r="Q94" s="135"/>
      <c r="R94" s="136"/>
    </row>
    <row r="95" spans="2:18" ht="12.75">
      <c r="B95" s="125" t="s">
        <v>123</v>
      </c>
      <c r="C95" s="148" t="str">
        <f>IF($D$12="m","[pers.*km]","[pers*miles]")</f>
        <v>[pers*miles]</v>
      </c>
      <c r="D95" s="279">
        <v>0</v>
      </c>
      <c r="E95" s="128">
        <f>12*D95</f>
        <v>0</v>
      </c>
      <c r="F95" s="129">
        <v>0</v>
      </c>
      <c r="G95" s="130">
        <f>D$250*3*E95*IF($D$12="m",1,1.609)*C$265</f>
        <v>0</v>
      </c>
      <c r="H95" s="132"/>
      <c r="I95" s="132"/>
      <c r="J95" s="280"/>
      <c r="K95" s="282">
        <f>25000*1609*15/(5200*10^6)*E95/1.609*IF($D$12="m",1,1.609)*C$269*$D$269</f>
        <v>0</v>
      </c>
      <c r="L95" s="283"/>
      <c r="O95" s="134">
        <f>+F95*E$9/60</f>
        <v>0</v>
      </c>
      <c r="P95" s="135"/>
      <c r="Q95" s="135"/>
      <c r="R95" s="136"/>
    </row>
    <row r="96" spans="2:18" ht="12.75">
      <c r="B96" s="125" t="s">
        <v>124</v>
      </c>
      <c r="C96" s="126" t="str">
        <f>IF($D$12="m","[km]","[miles]")</f>
        <v>[miles]</v>
      </c>
      <c r="D96" s="284">
        <v>0</v>
      </c>
      <c r="E96" s="285">
        <f>12*D96</f>
        <v>0</v>
      </c>
      <c r="F96" s="129">
        <v>0</v>
      </c>
      <c r="G96" s="130">
        <f>IF(D97&gt;0,(D$250*35*(E96/D97)*1.5*IF($D$12="m",1,8*0.473))*C$265,0)</f>
        <v>0</v>
      </c>
      <c r="H96" s="149"/>
      <c r="I96" s="286"/>
      <c r="J96" s="132"/>
      <c r="K96" s="282">
        <f>3.94*10^6*1609*25/(2.56*10^12)*0.927*E96/1.609*IF($D$12="m",1,1.609)*C$269*$D$269</f>
        <v>0</v>
      </c>
      <c r="L96" s="287"/>
      <c r="O96" s="134">
        <f>+F96*E$9/60</f>
        <v>0</v>
      </c>
      <c r="P96" s="135"/>
      <c r="Q96" s="135"/>
      <c r="R96" s="136"/>
    </row>
    <row r="97" spans="2:18" ht="12.75">
      <c r="B97" s="288" t="s">
        <v>125</v>
      </c>
      <c r="C97" s="126" t="str">
        <f>IF($D$12="m","[liters]","[mpg]")</f>
        <v>[mpg]</v>
      </c>
      <c r="D97" s="180">
        <v>0</v>
      </c>
      <c r="E97" s="285"/>
      <c r="F97" s="129"/>
      <c r="G97" s="289"/>
      <c r="H97" s="149"/>
      <c r="I97" s="286"/>
      <c r="J97" s="132"/>
      <c r="K97" s="290"/>
      <c r="L97" s="133"/>
      <c r="O97" s="134"/>
      <c r="P97" s="135"/>
      <c r="Q97" s="135"/>
      <c r="R97" s="136"/>
    </row>
    <row r="98" spans="2:18" ht="12.75">
      <c r="B98" s="125" t="s">
        <v>126</v>
      </c>
      <c r="C98" s="126" t="str">
        <f>IF($D$12="m","[km]","[miles]")</f>
        <v>[miles]</v>
      </c>
      <c r="D98" s="279">
        <v>0</v>
      </c>
      <c r="E98" s="128">
        <f>12*D98</f>
        <v>0</v>
      </c>
      <c r="F98" s="129">
        <v>0</v>
      </c>
      <c r="G98" s="130">
        <f>IF(D99&gt;0,(D$250*35*(E98/D99)*1.5*IF($D$12="m",1,8*0.473))*C$265,0)</f>
        <v>0</v>
      </c>
      <c r="H98" s="132"/>
      <c r="I98" s="132"/>
      <c r="J98" s="132"/>
      <c r="K98" s="282">
        <f>3.94*10^6*1609*25/(2.56*10^12)*0.927*E98/1.609*IF($D$12="m",1,1.609)*C$269*$D$269</f>
        <v>0</v>
      </c>
      <c r="L98" s="133"/>
      <c r="O98" s="134">
        <f>+F98*E$9/60</f>
        <v>0</v>
      </c>
      <c r="P98" s="135"/>
      <c r="Q98" s="135"/>
      <c r="R98" s="136"/>
    </row>
    <row r="99" spans="2:18" ht="12.75">
      <c r="B99" s="288" t="s">
        <v>125</v>
      </c>
      <c r="C99" s="126" t="str">
        <f>IF($D$12="m","[liters]","[mpg]")</f>
        <v>[mpg]</v>
      </c>
      <c r="D99" s="279">
        <v>0</v>
      </c>
      <c r="E99" s="128"/>
      <c r="F99" s="129"/>
      <c r="G99" s="289"/>
      <c r="H99" s="131"/>
      <c r="I99" s="132"/>
      <c r="J99" s="132"/>
      <c r="K99" s="290"/>
      <c r="L99" s="133"/>
      <c r="O99" s="134"/>
      <c r="P99" s="135"/>
      <c r="Q99" s="135"/>
      <c r="R99" s="136"/>
    </row>
    <row r="100" spans="2:18" ht="12.75">
      <c r="B100" s="291" t="s">
        <v>127</v>
      </c>
      <c r="C100" s="126" t="str">
        <f>IF($D$12="m","[km]","[miles]")</f>
        <v>[miles]</v>
      </c>
      <c r="D100" s="195">
        <v>0</v>
      </c>
      <c r="E100" s="285">
        <f>12*D100</f>
        <v>0</v>
      </c>
      <c r="F100" s="129">
        <v>0</v>
      </c>
      <c r="G100" s="130">
        <f>IF(D101&gt;0,(D$250*35*(E100/D101)*1.5*IF($D$12="m",1,8*0.473))*C$265,0)</f>
        <v>0</v>
      </c>
      <c r="H100" s="149"/>
      <c r="I100" s="286"/>
      <c r="J100" s="132"/>
      <c r="K100" s="282">
        <f>3.94*10^6*1609*25/(2.56*10^12)*0.927*E100/1.609*IF($D$12="m",1,1.609)*C$269*$D$269</f>
        <v>0</v>
      </c>
      <c r="L100" s="133"/>
      <c r="O100" s="134">
        <f>+F100*E$9/60</f>
        <v>0</v>
      </c>
      <c r="P100" s="135"/>
      <c r="Q100" s="135"/>
      <c r="R100" s="136"/>
    </row>
    <row r="101" spans="2:18" ht="12.75">
      <c r="B101" s="288" t="s">
        <v>125</v>
      </c>
      <c r="C101" s="126" t="str">
        <f>IF($D$12="m","[liters]","[mpg]")</f>
        <v>[mpg]</v>
      </c>
      <c r="D101" s="195">
        <v>0</v>
      </c>
      <c r="E101" s="285"/>
      <c r="F101" s="129"/>
      <c r="G101" s="289"/>
      <c r="H101" s="149"/>
      <c r="I101" s="286"/>
      <c r="J101" s="132"/>
      <c r="K101" s="290"/>
      <c r="L101" s="133"/>
      <c r="O101" s="134"/>
      <c r="P101" s="135"/>
      <c r="Q101" s="135"/>
      <c r="R101" s="136"/>
    </row>
    <row r="102" spans="2:18" ht="12.75">
      <c r="B102" s="194" t="s">
        <v>128</v>
      </c>
      <c r="C102" s="226" t="s">
        <v>129</v>
      </c>
      <c r="D102" s="292">
        <v>0</v>
      </c>
      <c r="E102" s="293">
        <f>12*D102</f>
        <v>0</v>
      </c>
      <c r="F102" s="233">
        <v>0</v>
      </c>
      <c r="G102" s="156">
        <f>IF(D103="e",0.95,IF(D103="b",1.1,1.25))*D$250*3.1*800*E102*C$265</f>
        <v>0</v>
      </c>
      <c r="H102" s="144"/>
      <c r="I102" s="144"/>
      <c r="J102" s="144"/>
      <c r="K102" s="294"/>
      <c r="L102" s="145"/>
      <c r="O102" s="134">
        <f>+F102*E$9/60</f>
        <v>0</v>
      </c>
      <c r="P102" s="135"/>
      <c r="Q102" s="135"/>
      <c r="R102" s="136"/>
    </row>
    <row r="103" spans="2:18" ht="13.5" thickBot="1">
      <c r="B103" s="295" t="s">
        <v>130</v>
      </c>
      <c r="C103" s="296"/>
      <c r="D103" s="297" t="s">
        <v>131</v>
      </c>
      <c r="E103" s="298"/>
      <c r="F103" s="155"/>
      <c r="G103" s="299"/>
      <c r="H103" s="300"/>
      <c r="I103" s="300"/>
      <c r="J103" s="300"/>
      <c r="K103" s="301"/>
      <c r="L103" s="302"/>
      <c r="O103" s="134"/>
      <c r="P103" s="135"/>
      <c r="Q103" s="135"/>
      <c r="R103" s="136"/>
    </row>
    <row r="104" spans="2:18" ht="13.5" thickBot="1">
      <c r="B104" s="238" t="s">
        <v>132</v>
      </c>
      <c r="C104" s="239"/>
      <c r="D104" s="303"/>
      <c r="E104" s="304"/>
      <c r="F104" s="161">
        <f aca="true" t="shared" si="6" ref="F104:L104">+SUM(F92:F103)</f>
        <v>0</v>
      </c>
      <c r="G104" s="305">
        <f t="shared" si="6"/>
        <v>0</v>
      </c>
      <c r="H104" s="305">
        <f t="shared" si="6"/>
        <v>0</v>
      </c>
      <c r="I104" s="305">
        <f t="shared" si="6"/>
        <v>0</v>
      </c>
      <c r="J104" s="305">
        <f t="shared" si="6"/>
        <v>0</v>
      </c>
      <c r="K104" s="306">
        <f t="shared" si="6"/>
        <v>0</v>
      </c>
      <c r="L104" s="307">
        <f t="shared" si="6"/>
        <v>0</v>
      </c>
      <c r="O104" s="246">
        <f>+F104*E$9/60</f>
        <v>0</v>
      </c>
      <c r="P104" s="247"/>
      <c r="Q104" s="247"/>
      <c r="R104" s="248"/>
    </row>
    <row r="105" spans="2:18" ht="13.5" thickTop="1">
      <c r="B105" s="95" t="s">
        <v>133</v>
      </c>
      <c r="C105" s="308"/>
      <c r="D105" s="97" t="s">
        <v>0</v>
      </c>
      <c r="E105" s="309"/>
      <c r="F105" s="44"/>
      <c r="G105" s="44"/>
      <c r="H105" s="44"/>
      <c r="I105" s="44"/>
      <c r="J105" s="44"/>
      <c r="K105" s="44"/>
      <c r="L105" s="258"/>
      <c r="O105" s="276"/>
      <c r="P105" s="256"/>
      <c r="Q105" s="256"/>
      <c r="R105" s="258"/>
    </row>
    <row r="106" spans="2:18" ht="12.75">
      <c r="B106" s="174"/>
      <c r="C106" s="103"/>
      <c r="D106" s="310"/>
      <c r="E106" s="169"/>
      <c r="F106" s="310"/>
      <c r="G106" s="310"/>
      <c r="H106" s="310"/>
      <c r="I106" s="310"/>
      <c r="J106" s="310"/>
      <c r="K106" s="310"/>
      <c r="L106" s="104"/>
      <c r="O106" s="277"/>
      <c r="P106" s="30"/>
      <c r="Q106" s="30"/>
      <c r="R106" s="278"/>
    </row>
    <row r="107" spans="2:18" ht="12.75">
      <c r="B107" s="147" t="s">
        <v>134</v>
      </c>
      <c r="C107" s="311"/>
      <c r="D107" s="312"/>
      <c r="E107" s="313"/>
      <c r="F107" s="314"/>
      <c r="G107" s="315"/>
      <c r="H107" s="316"/>
      <c r="I107" s="316"/>
      <c r="J107" s="316"/>
      <c r="K107" s="317"/>
      <c r="L107" s="318"/>
      <c r="O107" s="134"/>
      <c r="P107" s="135"/>
      <c r="Q107" s="135"/>
      <c r="R107" s="136"/>
    </row>
    <row r="108" spans="2:18" ht="12.75">
      <c r="B108" s="125" t="s">
        <v>135</v>
      </c>
      <c r="C108" s="126" t="str">
        <f aca="true" t="shared" si="7" ref="C108:C124">IF($D$12="m","[kg]","[pounds]")</f>
        <v>[pounds]</v>
      </c>
      <c r="D108" s="227">
        <v>0</v>
      </c>
      <c r="E108" s="319">
        <f aca="true" t="shared" si="8" ref="E108:E124">12*D108</f>
        <v>0</v>
      </c>
      <c r="F108" s="320">
        <v>0</v>
      </c>
      <c r="G108" s="321">
        <f>D$250*20*E108*IF($D$12="m",1,0.454)*$C$265</f>
        <v>0</v>
      </c>
      <c r="H108" s="322">
        <f>IF(D$12="s",0.454,IF(D$12="m",1))*E108*C233*$D$252</f>
        <v>0</v>
      </c>
      <c r="I108" s="132"/>
      <c r="J108" s="132"/>
      <c r="K108" s="213">
        <f aca="true" t="shared" si="9" ref="K108:K125">IF($D$282+$H$282=0,0,(G108)*D$254/($D$282+$H$282)*C$269*$D$269)</f>
        <v>0</v>
      </c>
      <c r="L108" s="323"/>
      <c r="O108" s="134">
        <f aca="true" t="shared" si="10" ref="O108:O125">+F108*E$9/60</f>
        <v>0</v>
      </c>
      <c r="P108" s="135"/>
      <c r="Q108" s="135"/>
      <c r="R108" s="136"/>
    </row>
    <row r="109" spans="2:18" ht="12.75">
      <c r="B109" s="125" t="s">
        <v>136</v>
      </c>
      <c r="C109" s="126" t="str">
        <f t="shared" si="7"/>
        <v>[pounds]</v>
      </c>
      <c r="D109" s="227">
        <v>0</v>
      </c>
      <c r="E109" s="319">
        <f t="shared" si="8"/>
        <v>0</v>
      </c>
      <c r="F109" s="320">
        <v>0</v>
      </c>
      <c r="G109" s="321">
        <f>D$250*20*E109*IF($D$12="m",1,0.454)*$C$265</f>
        <v>0</v>
      </c>
      <c r="H109" s="322">
        <f>IF(D$12="s",0.454,IF(D$12="m",1))*E109*C225</f>
        <v>0</v>
      </c>
      <c r="I109" s="322">
        <f>IF(D$12="s",0.454,IF(D$12="m",1))*E109*D225</f>
        <v>0</v>
      </c>
      <c r="J109" s="132"/>
      <c r="K109" s="213">
        <f t="shared" si="9"/>
        <v>0</v>
      </c>
      <c r="L109" s="133"/>
      <c r="N109" s="324"/>
      <c r="O109" s="134">
        <f t="shared" si="10"/>
        <v>0</v>
      </c>
      <c r="P109" s="135"/>
      <c r="Q109" s="135"/>
      <c r="R109" s="136"/>
    </row>
    <row r="110" spans="2:18" ht="12.75">
      <c r="B110" s="125" t="s">
        <v>137</v>
      </c>
      <c r="C110" s="126" t="str">
        <f t="shared" si="7"/>
        <v>[pounds]</v>
      </c>
      <c r="D110" s="227">
        <v>0</v>
      </c>
      <c r="E110" s="319">
        <f t="shared" si="8"/>
        <v>0</v>
      </c>
      <c r="F110" s="320">
        <v>0</v>
      </c>
      <c r="G110" s="321">
        <f>D$250*20*E110*IF($D$12="m",1,0.454)*$C$265</f>
        <v>0</v>
      </c>
      <c r="H110" s="132"/>
      <c r="I110" s="132"/>
      <c r="J110" s="132"/>
      <c r="K110" s="213">
        <f t="shared" si="9"/>
        <v>0</v>
      </c>
      <c r="L110" s="133"/>
      <c r="O110" s="134">
        <f t="shared" si="10"/>
        <v>0</v>
      </c>
      <c r="P110" s="135"/>
      <c r="Q110" s="135"/>
      <c r="R110" s="136"/>
    </row>
    <row r="111" spans="2:18" ht="12.75">
      <c r="B111" s="125" t="s">
        <v>138</v>
      </c>
      <c r="C111" s="138" t="str">
        <f t="shared" si="7"/>
        <v>[pounds]</v>
      </c>
      <c r="D111" s="191">
        <v>0</v>
      </c>
      <c r="E111" s="128">
        <f t="shared" si="8"/>
        <v>0</v>
      </c>
      <c r="F111" s="325">
        <v>0</v>
      </c>
      <c r="G111" s="321">
        <f>D$250*5*E111*IF($D$12="m",1,0.454)*$C$265</f>
        <v>0</v>
      </c>
      <c r="H111" s="132"/>
      <c r="I111" s="132"/>
      <c r="J111" s="185">
        <f>E111*(C$238/600)*2.2*IF($D$12="m",1,0.454)</f>
        <v>0</v>
      </c>
      <c r="K111" s="213">
        <f t="shared" si="9"/>
        <v>0</v>
      </c>
      <c r="L111" s="145"/>
      <c r="N111" s="193"/>
      <c r="O111" s="134">
        <f t="shared" si="10"/>
        <v>0</v>
      </c>
      <c r="P111" s="135"/>
      <c r="Q111" s="135"/>
      <c r="R111" s="136"/>
    </row>
    <row r="112" spans="2:18" ht="12.75">
      <c r="B112" s="125" t="s">
        <v>139</v>
      </c>
      <c r="C112" s="138" t="str">
        <f t="shared" si="7"/>
        <v>[pounds]</v>
      </c>
      <c r="D112" s="191">
        <v>0</v>
      </c>
      <c r="E112" s="128">
        <f t="shared" si="8"/>
        <v>0</v>
      </c>
      <c r="F112" s="325">
        <v>0</v>
      </c>
      <c r="G112" s="321">
        <f>D$250*60*E112*IF($D$12="m",1,0.454)*$C$265</f>
        <v>0</v>
      </c>
      <c r="H112" s="132"/>
      <c r="I112" s="132"/>
      <c r="J112" s="132"/>
      <c r="K112" s="213">
        <f t="shared" si="9"/>
        <v>0</v>
      </c>
      <c r="L112" s="145"/>
      <c r="N112" s="193"/>
      <c r="O112" s="134">
        <f t="shared" si="10"/>
        <v>0</v>
      </c>
      <c r="P112" s="135"/>
      <c r="Q112" s="135"/>
      <c r="R112" s="136"/>
    </row>
    <row r="113" spans="2:18" ht="12.75">
      <c r="B113" s="125" t="s">
        <v>140</v>
      </c>
      <c r="C113" s="138" t="str">
        <f t="shared" si="7"/>
        <v>[pounds]</v>
      </c>
      <c r="D113" s="191">
        <v>0</v>
      </c>
      <c r="E113" s="128">
        <f t="shared" si="8"/>
        <v>0</v>
      </c>
      <c r="F113" s="325">
        <v>0</v>
      </c>
      <c r="G113" s="321">
        <f>D$250*150*E113*IF($D$12="m",1,0.454)*$C$265</f>
        <v>0</v>
      </c>
      <c r="H113" s="132"/>
      <c r="I113" s="132"/>
      <c r="J113" s="290"/>
      <c r="K113" s="213">
        <f t="shared" si="9"/>
        <v>0</v>
      </c>
      <c r="L113" s="145"/>
      <c r="N113" s="193"/>
      <c r="O113" s="134">
        <f t="shared" si="10"/>
        <v>0</v>
      </c>
      <c r="P113" s="135"/>
      <c r="Q113" s="135"/>
      <c r="R113" s="136"/>
    </row>
    <row r="114" spans="2:18" ht="12.75">
      <c r="B114" s="125" t="s">
        <v>141</v>
      </c>
      <c r="C114" s="126" t="str">
        <f t="shared" si="7"/>
        <v>[pounds]</v>
      </c>
      <c r="D114" s="195">
        <v>0</v>
      </c>
      <c r="E114" s="319">
        <f t="shared" si="8"/>
        <v>0</v>
      </c>
      <c r="F114" s="320">
        <v>0</v>
      </c>
      <c r="G114" s="321">
        <f>D$250*200*E114*IF($D$12="m",1,0.454)*$C$265</f>
        <v>0</v>
      </c>
      <c r="H114" s="132"/>
      <c r="I114" s="132"/>
      <c r="J114" s="132"/>
      <c r="K114" s="213">
        <f t="shared" si="9"/>
        <v>0</v>
      </c>
      <c r="L114" s="133"/>
      <c r="O114" s="134">
        <f t="shared" si="10"/>
        <v>0</v>
      </c>
      <c r="P114" s="135"/>
      <c r="Q114" s="135"/>
      <c r="R114" s="136"/>
    </row>
    <row r="115" spans="2:18" ht="12.75">
      <c r="B115" s="174" t="s">
        <v>142</v>
      </c>
      <c r="C115" s="326" t="str">
        <f t="shared" si="7"/>
        <v>[pounds]</v>
      </c>
      <c r="D115" s="327">
        <v>0</v>
      </c>
      <c r="E115" s="319">
        <f t="shared" si="8"/>
        <v>0</v>
      </c>
      <c r="F115" s="320">
        <v>0</v>
      </c>
      <c r="G115" s="328">
        <f>D$250*100*E115*IF($D$12="m",1,0.454)*$C$265</f>
        <v>0</v>
      </c>
      <c r="H115" s="329"/>
      <c r="I115" s="329"/>
      <c r="J115" s="329"/>
      <c r="K115" s="213">
        <f t="shared" si="9"/>
        <v>0</v>
      </c>
      <c r="L115" s="145"/>
      <c r="N115" s="24"/>
      <c r="O115" s="134">
        <f t="shared" si="10"/>
        <v>0</v>
      </c>
      <c r="P115" s="135"/>
      <c r="Q115" s="135"/>
      <c r="R115" s="136"/>
    </row>
    <row r="116" spans="2:18" ht="12.75">
      <c r="B116" s="125" t="s">
        <v>143</v>
      </c>
      <c r="C116" s="126" t="str">
        <f t="shared" si="7"/>
        <v>[pounds]</v>
      </c>
      <c r="D116" s="180">
        <v>0</v>
      </c>
      <c r="E116" s="128">
        <f t="shared" si="8"/>
        <v>0</v>
      </c>
      <c r="F116" s="325">
        <v>0</v>
      </c>
      <c r="G116" s="321">
        <f>D$250*35*E116*IF($D$12="m",1,0.454)*$C$265</f>
        <v>0</v>
      </c>
      <c r="H116" s="132"/>
      <c r="I116" s="132"/>
      <c r="J116" s="322">
        <f>(C$238/600)*1.65*E116*IF($D$12="m",1,0.454)</f>
        <v>0</v>
      </c>
      <c r="K116" s="213">
        <f t="shared" si="9"/>
        <v>0</v>
      </c>
      <c r="L116" s="145"/>
      <c r="O116" s="134">
        <f t="shared" si="10"/>
        <v>0</v>
      </c>
      <c r="P116" s="135"/>
      <c r="Q116" s="135"/>
      <c r="R116" s="136"/>
    </row>
    <row r="117" spans="2:18" ht="12.75">
      <c r="B117" s="125" t="s">
        <v>144</v>
      </c>
      <c r="C117" s="126" t="str">
        <f t="shared" si="7"/>
        <v>[pounds]</v>
      </c>
      <c r="D117" s="330">
        <v>0</v>
      </c>
      <c r="E117" s="331">
        <f t="shared" si="8"/>
        <v>0</v>
      </c>
      <c r="F117" s="325">
        <v>0</v>
      </c>
      <c r="G117" s="321">
        <f>D$250*100*E117*IF($D$12="m",1,0.454)*$C$265</f>
        <v>0</v>
      </c>
      <c r="H117" s="332"/>
      <c r="I117" s="132"/>
      <c r="J117" s="132"/>
      <c r="K117" s="213">
        <f t="shared" si="9"/>
        <v>0</v>
      </c>
      <c r="L117" s="133"/>
      <c r="O117" s="134">
        <f t="shared" si="10"/>
        <v>0</v>
      </c>
      <c r="P117" s="135"/>
      <c r="Q117" s="135"/>
      <c r="R117" s="136"/>
    </row>
    <row r="118" spans="2:18" ht="12.75">
      <c r="B118" s="125" t="s">
        <v>145</v>
      </c>
      <c r="C118" s="126" t="str">
        <f t="shared" si="7"/>
        <v>[pounds]</v>
      </c>
      <c r="D118" s="180">
        <v>0</v>
      </c>
      <c r="E118" s="319">
        <f t="shared" si="8"/>
        <v>0</v>
      </c>
      <c r="F118" s="320">
        <v>0</v>
      </c>
      <c r="G118" s="321">
        <f>D$250*60*E118*IF($D$12="m",1,0.454)*$C$265</f>
        <v>0</v>
      </c>
      <c r="H118" s="132"/>
      <c r="I118" s="132"/>
      <c r="J118" s="132"/>
      <c r="K118" s="213">
        <f t="shared" si="9"/>
        <v>0</v>
      </c>
      <c r="L118" s="133"/>
      <c r="O118" s="134">
        <f t="shared" si="10"/>
        <v>0</v>
      </c>
      <c r="P118" s="135"/>
      <c r="Q118" s="135"/>
      <c r="R118" s="136"/>
    </row>
    <row r="119" spans="2:18" ht="12.75">
      <c r="B119" s="125" t="s">
        <v>146</v>
      </c>
      <c r="C119" s="126" t="str">
        <f t="shared" si="7"/>
        <v>[pounds]</v>
      </c>
      <c r="D119" s="227">
        <v>0</v>
      </c>
      <c r="E119" s="319">
        <f t="shared" si="8"/>
        <v>0</v>
      </c>
      <c r="F119" s="320">
        <v>0</v>
      </c>
      <c r="G119" s="321">
        <f>D$250*20*E119*IF($D$12="m",1,0.454)*$C$265</f>
        <v>0</v>
      </c>
      <c r="H119" s="322">
        <f>IF(D$12="s",0.454,IF(D$12="m",1))*E119*C224</f>
        <v>0</v>
      </c>
      <c r="I119" s="322">
        <f>IF(D$12="s",0.454,IF(D$12="m",1))*E119*D224</f>
        <v>0</v>
      </c>
      <c r="J119" s="132"/>
      <c r="K119" s="213">
        <f t="shared" si="9"/>
        <v>0</v>
      </c>
      <c r="L119" s="133"/>
      <c r="O119" s="134">
        <f t="shared" si="10"/>
        <v>0</v>
      </c>
      <c r="P119" s="135"/>
      <c r="Q119" s="135"/>
      <c r="R119" s="136"/>
    </row>
    <row r="120" spans="2:18" ht="12.75">
      <c r="B120" s="125" t="s">
        <v>147</v>
      </c>
      <c r="C120" s="126" t="str">
        <f t="shared" si="7"/>
        <v>[pounds]</v>
      </c>
      <c r="D120" s="180">
        <v>0</v>
      </c>
      <c r="E120" s="319">
        <f t="shared" si="8"/>
        <v>0</v>
      </c>
      <c r="F120" s="320">
        <v>0</v>
      </c>
      <c r="G120" s="321">
        <f>D$250*50*E120*IF($D$12="m",1,0.454)*$C$265</f>
        <v>0</v>
      </c>
      <c r="H120" s="132"/>
      <c r="I120" s="132"/>
      <c r="J120" s="132"/>
      <c r="K120" s="213">
        <f t="shared" si="9"/>
        <v>0</v>
      </c>
      <c r="L120" s="133"/>
      <c r="O120" s="134">
        <f t="shared" si="10"/>
        <v>0</v>
      </c>
      <c r="P120" s="135"/>
      <c r="Q120" s="135"/>
      <c r="R120" s="136"/>
    </row>
    <row r="121" spans="2:18" ht="12.75">
      <c r="B121" s="125" t="s">
        <v>148</v>
      </c>
      <c r="C121" s="126" t="str">
        <f t="shared" si="7"/>
        <v>[pounds]</v>
      </c>
      <c r="D121" s="180">
        <v>0</v>
      </c>
      <c r="E121" s="319">
        <f t="shared" si="8"/>
        <v>0</v>
      </c>
      <c r="F121" s="320">
        <v>0</v>
      </c>
      <c r="G121" s="321">
        <f>D$250*15*E121*IF($D$12="m",1,0.454)*$C$265</f>
        <v>0</v>
      </c>
      <c r="H121" s="132"/>
      <c r="I121" s="132"/>
      <c r="J121" s="132"/>
      <c r="K121" s="213">
        <f t="shared" si="9"/>
        <v>0</v>
      </c>
      <c r="L121" s="133"/>
      <c r="O121" s="134">
        <f t="shared" si="10"/>
        <v>0</v>
      </c>
      <c r="P121" s="135"/>
      <c r="Q121" s="135"/>
      <c r="R121" s="136"/>
    </row>
    <row r="122" spans="2:18" ht="12.75">
      <c r="B122" s="125" t="s">
        <v>149</v>
      </c>
      <c r="C122" s="126" t="str">
        <f t="shared" si="7"/>
        <v>[pounds]</v>
      </c>
      <c r="D122" s="180">
        <v>0</v>
      </c>
      <c r="E122" s="128">
        <f t="shared" si="8"/>
        <v>0</v>
      </c>
      <c r="F122" s="320">
        <v>0</v>
      </c>
      <c r="G122" s="321">
        <f>D$250*200*E122*IF($D$12="m",1,0.454)*$C$265</f>
        <v>0</v>
      </c>
      <c r="H122" s="132"/>
      <c r="I122" s="132"/>
      <c r="J122" s="132"/>
      <c r="K122" s="213">
        <f t="shared" si="9"/>
        <v>0</v>
      </c>
      <c r="L122" s="133"/>
      <c r="O122" s="134">
        <f t="shared" si="10"/>
        <v>0</v>
      </c>
      <c r="P122" s="135"/>
      <c r="Q122" s="135"/>
      <c r="R122" s="136"/>
    </row>
    <row r="123" spans="2:18" ht="12.75">
      <c r="B123" s="125" t="s">
        <v>150</v>
      </c>
      <c r="C123" s="126" t="str">
        <f t="shared" si="7"/>
        <v>[pounds]</v>
      </c>
      <c r="D123" s="180">
        <v>0</v>
      </c>
      <c r="E123" s="181">
        <f t="shared" si="8"/>
        <v>0</v>
      </c>
      <c r="F123" s="320">
        <v>0</v>
      </c>
      <c r="G123" s="321">
        <f>D$250*40*E123*IF($D$12="m",1,0.454)*$C$265</f>
        <v>0</v>
      </c>
      <c r="H123" s="132"/>
      <c r="I123" s="132"/>
      <c r="J123" s="132"/>
      <c r="K123" s="213">
        <f t="shared" si="9"/>
        <v>0</v>
      </c>
      <c r="L123" s="133"/>
      <c r="O123" s="134">
        <f t="shared" si="10"/>
        <v>0</v>
      </c>
      <c r="P123" s="135"/>
      <c r="Q123" s="135"/>
      <c r="R123" s="136"/>
    </row>
    <row r="124" spans="2:18" ht="13.5" thickBot="1">
      <c r="B124" s="125" t="s">
        <v>151</v>
      </c>
      <c r="C124" s="154" t="str">
        <f t="shared" si="7"/>
        <v>[pounds]</v>
      </c>
      <c r="D124" s="333">
        <v>0</v>
      </c>
      <c r="E124" s="334">
        <f t="shared" si="8"/>
        <v>0</v>
      </c>
      <c r="F124" s="335">
        <v>0</v>
      </c>
      <c r="G124" s="336">
        <f>D$250*125*E124*IF($D$12="m",1,0.454)*$C$265</f>
        <v>0</v>
      </c>
      <c r="H124" s="337">
        <f>IF(D$12="s",0.454,IF(D$12="m",1))*E124*C235*$D$252</f>
        <v>0</v>
      </c>
      <c r="I124" s="300"/>
      <c r="J124" s="300"/>
      <c r="K124" s="216">
        <f t="shared" si="9"/>
        <v>0</v>
      </c>
      <c r="L124" s="338"/>
      <c r="O124" s="134">
        <f t="shared" si="10"/>
        <v>0</v>
      </c>
      <c r="P124" s="135"/>
      <c r="Q124" s="135"/>
      <c r="R124" s="136"/>
    </row>
    <row r="125" spans="2:18" ht="13.5" thickBot="1">
      <c r="B125" s="238" t="s">
        <v>152</v>
      </c>
      <c r="C125" s="239"/>
      <c r="D125" s="339"/>
      <c r="E125" s="340"/>
      <c r="F125" s="341">
        <f>+SUM(F108:F124)</f>
        <v>0</v>
      </c>
      <c r="G125" s="162">
        <f>+SUM(G108:G124)</f>
        <v>0</v>
      </c>
      <c r="H125" s="342">
        <f>+SUM(H108:H124)</f>
        <v>0</v>
      </c>
      <c r="I125" s="305">
        <f>+SUM(I108:I124)</f>
        <v>0</v>
      </c>
      <c r="J125" s="305">
        <f>+SUM(J108:J124)</f>
        <v>0</v>
      </c>
      <c r="K125" s="343">
        <f t="shared" si="9"/>
        <v>0</v>
      </c>
      <c r="L125" s="307">
        <f>+SUM(L116:L124)</f>
        <v>0</v>
      </c>
      <c r="O125" s="166">
        <f t="shared" si="10"/>
        <v>0</v>
      </c>
      <c r="P125" s="135"/>
      <c r="Q125" s="135"/>
      <c r="R125" s="136"/>
    </row>
    <row r="126" spans="2:18" ht="13.5" thickTop="1">
      <c r="B126" s="102" t="s">
        <v>153</v>
      </c>
      <c r="C126" s="96"/>
      <c r="D126" s="169"/>
      <c r="E126" s="169"/>
      <c r="F126" s="310"/>
      <c r="G126" s="310"/>
      <c r="H126" s="310"/>
      <c r="I126" s="310"/>
      <c r="J126" s="310"/>
      <c r="K126" s="310"/>
      <c r="L126" s="104"/>
      <c r="O126" s="344"/>
      <c r="P126" s="15"/>
      <c r="Q126" s="15"/>
      <c r="R126" s="318"/>
    </row>
    <row r="127" spans="2:18" ht="12.75">
      <c r="B127" s="174"/>
      <c r="C127" s="103"/>
      <c r="D127" s="345"/>
      <c r="E127" s="345"/>
      <c r="F127" s="346"/>
      <c r="G127" s="346"/>
      <c r="H127" s="346"/>
      <c r="I127" s="346"/>
      <c r="J127" s="346"/>
      <c r="K127" s="347"/>
      <c r="L127" s="104"/>
      <c r="O127" s="277"/>
      <c r="P127" s="30"/>
      <c r="Q127" s="30"/>
      <c r="R127" s="278"/>
    </row>
    <row r="128" spans="2:18" ht="12.75">
      <c r="B128" s="147" t="s">
        <v>154</v>
      </c>
      <c r="C128" s="311"/>
      <c r="D128" s="348"/>
      <c r="E128" s="349"/>
      <c r="F128" s="350"/>
      <c r="G128" s="351"/>
      <c r="H128" s="316"/>
      <c r="I128" s="316"/>
      <c r="J128" s="316"/>
      <c r="K128" s="352"/>
      <c r="L128" s="318"/>
      <c r="O128" s="134"/>
      <c r="P128" s="135"/>
      <c r="Q128" s="135"/>
      <c r="R128" s="136"/>
    </row>
    <row r="129" spans="2:18" ht="12.75">
      <c r="B129" s="125" t="s">
        <v>155</v>
      </c>
      <c r="C129" s="126" t="str">
        <f>IF($D$12="m","[kg]","[pounds]")</f>
        <v>[pounds]</v>
      </c>
      <c r="D129" s="227">
        <v>0</v>
      </c>
      <c r="E129" s="319">
        <f>12*D129</f>
        <v>0</v>
      </c>
      <c r="F129" s="320">
        <v>0</v>
      </c>
      <c r="G129" s="353">
        <f>D$250*50*E129*IF($D$12="m",1,0.454)*C$265</f>
        <v>0</v>
      </c>
      <c r="H129" s="354"/>
      <c r="I129" s="354"/>
      <c r="J129" s="354"/>
      <c r="K129" s="216">
        <f aca="true" t="shared" si="11" ref="K129:K139">IF($F$282=0,0,(G129)*D$255/($F$282)*C$269*D$269)</f>
        <v>0</v>
      </c>
      <c r="L129" s="136"/>
      <c r="O129" s="134">
        <f aca="true" t="shared" si="12" ref="O129:O139">+F129*E$9/60</f>
        <v>0</v>
      </c>
      <c r="P129" s="135"/>
      <c r="Q129" s="135"/>
      <c r="R129" s="136"/>
    </row>
    <row r="130" spans="2:18" ht="12.75">
      <c r="B130" s="125" t="s">
        <v>156</v>
      </c>
      <c r="C130" s="126" t="str">
        <f>IF($D$12="m","[kg]","[pounds]")</f>
        <v>[pounds]</v>
      </c>
      <c r="D130" s="180">
        <v>0</v>
      </c>
      <c r="E130" s="319">
        <f>12*D130</f>
        <v>0</v>
      </c>
      <c r="F130" s="320">
        <v>0</v>
      </c>
      <c r="G130" s="353">
        <f>D$250*10*E130*IF($D$12="m",1,0.454)*C$265</f>
        <v>0</v>
      </c>
      <c r="H130" s="354"/>
      <c r="I130" s="354"/>
      <c r="J130" s="354"/>
      <c r="K130" s="216">
        <f t="shared" si="11"/>
        <v>0</v>
      </c>
      <c r="L130" s="136"/>
      <c r="O130" s="134">
        <f t="shared" si="12"/>
        <v>0</v>
      </c>
      <c r="P130" s="135"/>
      <c r="Q130" s="135"/>
      <c r="R130" s="136"/>
    </row>
    <row r="131" spans="2:18" ht="12.75">
      <c r="B131" s="194" t="s">
        <v>157</v>
      </c>
      <c r="C131" s="154" t="s">
        <v>88</v>
      </c>
      <c r="D131" s="195">
        <v>0</v>
      </c>
      <c r="E131" s="128">
        <f>D131*12</f>
        <v>0</v>
      </c>
      <c r="F131" s="355">
        <f>D131</f>
        <v>0</v>
      </c>
      <c r="G131" s="356">
        <f>(D$250*1000)*(1310/350/40)*(2000*0.3048*0.3048)/(1000*12)*E131*C$265+(10000/73000)*6*E131*C$265</f>
        <v>0</v>
      </c>
      <c r="H131" s="197"/>
      <c r="I131" s="357"/>
      <c r="J131" s="230">
        <f>C$238*((23.6*2.2)/150/40)*(2000*0.3048*0.3048)/(1000*12)*E131</f>
        <v>0</v>
      </c>
      <c r="K131" s="216">
        <f t="shared" si="11"/>
        <v>0</v>
      </c>
      <c r="L131" s="145"/>
      <c r="O131" s="134">
        <f t="shared" si="12"/>
        <v>0</v>
      </c>
      <c r="P131" s="135"/>
      <c r="Q131" s="135"/>
      <c r="R131" s="136"/>
    </row>
    <row r="132" spans="2:18" ht="12.75">
      <c r="B132" s="125" t="s">
        <v>158</v>
      </c>
      <c r="C132" s="126" t="s">
        <v>159</v>
      </c>
      <c r="D132" s="180">
        <v>0</v>
      </c>
      <c r="E132" s="319">
        <f aca="true" t="shared" si="13" ref="E132:E138">12*D132</f>
        <v>0</v>
      </c>
      <c r="F132" s="320">
        <f>+D132</f>
        <v>0</v>
      </c>
      <c r="G132" s="321">
        <f>D$250*12*E132*C$265</f>
        <v>0</v>
      </c>
      <c r="H132" s="354"/>
      <c r="I132" s="354"/>
      <c r="J132" s="358"/>
      <c r="K132" s="216">
        <f t="shared" si="11"/>
        <v>0</v>
      </c>
      <c r="L132" s="136"/>
      <c r="O132" s="134">
        <f t="shared" si="12"/>
        <v>0</v>
      </c>
      <c r="P132" s="135"/>
      <c r="Q132" s="135"/>
      <c r="R132" s="136"/>
    </row>
    <row r="133" spans="2:18" ht="12.75">
      <c r="B133" s="125" t="s">
        <v>160</v>
      </c>
      <c r="C133" s="126" t="s">
        <v>159</v>
      </c>
      <c r="D133" s="180">
        <v>0</v>
      </c>
      <c r="E133" s="319">
        <f t="shared" si="13"/>
        <v>0</v>
      </c>
      <c r="F133" s="320">
        <v>0</v>
      </c>
      <c r="G133" s="353">
        <f>D$250*6*E133*C$265</f>
        <v>0</v>
      </c>
      <c r="H133" s="354"/>
      <c r="I133" s="354"/>
      <c r="J133" s="354"/>
      <c r="K133" s="216">
        <f t="shared" si="11"/>
        <v>0</v>
      </c>
      <c r="L133" s="136"/>
      <c r="O133" s="134">
        <f t="shared" si="12"/>
        <v>0</v>
      </c>
      <c r="P133" s="135"/>
      <c r="Q133" s="135"/>
      <c r="R133" s="136"/>
    </row>
    <row r="134" spans="2:18" ht="12.75">
      <c r="B134" s="125" t="s">
        <v>161</v>
      </c>
      <c r="C134" s="126" t="s">
        <v>159</v>
      </c>
      <c r="D134" s="180">
        <v>0</v>
      </c>
      <c r="E134" s="319">
        <f t="shared" si="13"/>
        <v>0</v>
      </c>
      <c r="F134" s="320">
        <f>+D134</f>
        <v>0</v>
      </c>
      <c r="G134" s="353">
        <f>D$250*1*E134*C$265</f>
        <v>0</v>
      </c>
      <c r="H134" s="359"/>
      <c r="I134" s="354"/>
      <c r="J134" s="358"/>
      <c r="K134" s="216">
        <f t="shared" si="11"/>
        <v>0</v>
      </c>
      <c r="L134" s="136"/>
      <c r="O134" s="134">
        <f t="shared" si="12"/>
        <v>0</v>
      </c>
      <c r="P134" s="135"/>
      <c r="Q134" s="135"/>
      <c r="R134" s="136"/>
    </row>
    <row r="135" spans="2:18" ht="12.75">
      <c r="B135" s="125" t="s">
        <v>162</v>
      </c>
      <c r="C135" s="126" t="s">
        <v>159</v>
      </c>
      <c r="D135" s="180">
        <v>0</v>
      </c>
      <c r="E135" s="319">
        <f t="shared" si="13"/>
        <v>0</v>
      </c>
      <c r="F135" s="320">
        <f>+D135</f>
        <v>0</v>
      </c>
      <c r="G135" s="353">
        <f>D$250*4*E135*C$265</f>
        <v>0</v>
      </c>
      <c r="H135" s="354"/>
      <c r="I135" s="354"/>
      <c r="J135" s="354"/>
      <c r="K135" s="360">
        <f t="shared" si="11"/>
        <v>0</v>
      </c>
      <c r="L135" s="136"/>
      <c r="O135" s="134">
        <f t="shared" si="12"/>
        <v>0</v>
      </c>
      <c r="P135" s="135"/>
      <c r="Q135" s="135"/>
      <c r="R135" s="136"/>
    </row>
    <row r="136" spans="2:18" ht="12.75">
      <c r="B136" s="125" t="s">
        <v>163</v>
      </c>
      <c r="C136" s="126" t="s">
        <v>159</v>
      </c>
      <c r="D136" s="195">
        <v>0</v>
      </c>
      <c r="E136" s="319">
        <f t="shared" si="13"/>
        <v>0</v>
      </c>
      <c r="F136" s="320">
        <f>+D136</f>
        <v>0</v>
      </c>
      <c r="G136" s="353">
        <f>0.5*D$250*3.6*0.125*E136*C$265+0.5*(D$250*1000)*(1310/350/40)*(2000*0.3048*0.3048)/(1000*12)*E136*2*C$265</f>
        <v>0</v>
      </c>
      <c r="H136" s="354"/>
      <c r="I136" s="354"/>
      <c r="J136" s="361">
        <f>C$238*((23.6*2.2)/150/40)*(2000*0.3048*0.3048)/(1000*12)*E136*2</f>
        <v>0</v>
      </c>
      <c r="K136" s="360">
        <f t="shared" si="11"/>
        <v>0</v>
      </c>
      <c r="L136" s="136"/>
      <c r="O136" s="134">
        <f t="shared" si="12"/>
        <v>0</v>
      </c>
      <c r="P136" s="135"/>
      <c r="Q136" s="135"/>
      <c r="R136" s="136"/>
    </row>
    <row r="137" spans="2:18" ht="12.75">
      <c r="B137" s="125" t="s">
        <v>164</v>
      </c>
      <c r="C137" s="126" t="s">
        <v>159</v>
      </c>
      <c r="D137" s="195">
        <v>0</v>
      </c>
      <c r="E137" s="319">
        <f t="shared" si="13"/>
        <v>0</v>
      </c>
      <c r="F137" s="320">
        <f>+D137</f>
        <v>0</v>
      </c>
      <c r="G137" s="353">
        <f>D$250*6*E137*C$265</f>
        <v>0</v>
      </c>
      <c r="H137" s="354"/>
      <c r="I137" s="354"/>
      <c r="J137" s="354"/>
      <c r="K137" s="360">
        <f t="shared" si="11"/>
        <v>0</v>
      </c>
      <c r="L137" s="136"/>
      <c r="O137" s="134">
        <f t="shared" si="12"/>
        <v>0</v>
      </c>
      <c r="P137" s="135"/>
      <c r="Q137" s="135"/>
      <c r="R137" s="136"/>
    </row>
    <row r="138" spans="2:18" ht="13.5" thickBot="1">
      <c r="B138" s="125" t="s">
        <v>165</v>
      </c>
      <c r="C138" s="154" t="s">
        <v>159</v>
      </c>
      <c r="D138" s="362">
        <v>0</v>
      </c>
      <c r="E138" s="363">
        <f t="shared" si="13"/>
        <v>0</v>
      </c>
      <c r="F138" s="320">
        <f>+D138</f>
        <v>0</v>
      </c>
      <c r="G138" s="364">
        <f>D$250*3*E138*C$265</f>
        <v>0</v>
      </c>
      <c r="H138" s="365"/>
      <c r="I138" s="365"/>
      <c r="J138" s="365"/>
      <c r="K138" s="366">
        <f t="shared" si="11"/>
        <v>0</v>
      </c>
      <c r="L138" s="367"/>
      <c r="O138" s="134">
        <f t="shared" si="12"/>
        <v>0</v>
      </c>
      <c r="P138" s="135"/>
      <c r="Q138" s="135"/>
      <c r="R138" s="136"/>
    </row>
    <row r="139" spans="2:18" ht="13.5" thickBot="1">
      <c r="B139" s="238" t="s">
        <v>166</v>
      </c>
      <c r="C139" s="239"/>
      <c r="D139" s="368"/>
      <c r="E139" s="369"/>
      <c r="F139" s="370">
        <f>+SUM(F128:F138)</f>
        <v>0</v>
      </c>
      <c r="G139" s="371">
        <f>+SUM(G128:G138)</f>
        <v>0</v>
      </c>
      <c r="H139" s="372">
        <f>+SUM(H128:H138)</f>
        <v>0</v>
      </c>
      <c r="I139" s="372">
        <f>+SUM(I128:I138)</f>
        <v>0</v>
      </c>
      <c r="J139" s="373">
        <f>+SUM(J128:J138)</f>
        <v>0</v>
      </c>
      <c r="K139" s="374">
        <f t="shared" si="11"/>
        <v>0</v>
      </c>
      <c r="L139" s="375">
        <f>+SUM(L128:L138)</f>
        <v>0</v>
      </c>
      <c r="O139" s="166">
        <f t="shared" si="12"/>
        <v>0</v>
      </c>
      <c r="P139" s="135"/>
      <c r="Q139" s="135"/>
      <c r="R139" s="136"/>
    </row>
    <row r="140" spans="2:18" ht="13.5" thickTop="1">
      <c r="B140" s="102" t="s">
        <v>167</v>
      </c>
      <c r="C140" s="96"/>
      <c r="D140" s="310"/>
      <c r="E140" s="376"/>
      <c r="F140" s="310"/>
      <c r="G140" s="310"/>
      <c r="H140" s="310"/>
      <c r="I140" s="310"/>
      <c r="J140" s="310"/>
      <c r="K140" s="310"/>
      <c r="L140" s="104"/>
      <c r="O140" s="377"/>
      <c r="P140" s="135"/>
      <c r="Q140" s="135"/>
      <c r="R140" s="136"/>
    </row>
    <row r="141" spans="2:18" ht="12.75">
      <c r="B141" s="378"/>
      <c r="C141" s="103"/>
      <c r="D141" s="44"/>
      <c r="E141" s="379"/>
      <c r="F141" s="380"/>
      <c r="G141" s="381"/>
      <c r="H141" s="346"/>
      <c r="I141" s="346"/>
      <c r="J141" s="346"/>
      <c r="K141" s="382"/>
      <c r="L141" s="104"/>
      <c r="O141" s="134"/>
      <c r="P141" s="135"/>
      <c r="Q141" s="135"/>
      <c r="R141" s="136"/>
    </row>
    <row r="142" spans="2:18" ht="12.75">
      <c r="B142" s="147" t="s">
        <v>168</v>
      </c>
      <c r="C142" s="311"/>
      <c r="D142" s="383"/>
      <c r="E142" s="384"/>
      <c r="F142" s="15"/>
      <c r="G142" s="385"/>
      <c r="H142" s="386" t="s">
        <v>169</v>
      </c>
      <c r="I142" s="383"/>
      <c r="J142" s="383"/>
      <c r="K142" s="383"/>
      <c r="L142" s="318"/>
      <c r="O142" s="134"/>
      <c r="P142" s="135"/>
      <c r="Q142" s="135"/>
      <c r="R142" s="136"/>
    </row>
    <row r="143" spans="2:18" ht="12.75">
      <c r="B143" s="125" t="s">
        <v>170</v>
      </c>
      <c r="C143" s="126" t="str">
        <f>IF($D$12="m","[kg]","[pounds]")</f>
        <v>[pounds]</v>
      </c>
      <c r="D143" s="180">
        <v>0</v>
      </c>
      <c r="E143" s="319">
        <f>12*D143</f>
        <v>0</v>
      </c>
      <c r="F143" s="320">
        <v>0</v>
      </c>
      <c r="G143" s="353">
        <f>D$250*35*E143*(1-H143*0.45)*IF($D$12="m",1,0.454)*$C$265</f>
        <v>0</v>
      </c>
      <c r="H143" s="387">
        <v>0.416</v>
      </c>
      <c r="I143" s="354"/>
      <c r="J143" s="185">
        <f>(C$238/600)*1.65*E143*(1-H143*0.8)*IF($D$12="m",1,0.454)</f>
        <v>0</v>
      </c>
      <c r="K143" s="213">
        <f>IF($D$282+$H$282=0,0,(G143)*D$254/($D$282+$H$282)*C$269*D$269)</f>
        <v>0</v>
      </c>
      <c r="L143" s="145"/>
      <c r="O143" s="134">
        <f>+F143*E$9/60</f>
        <v>0</v>
      </c>
      <c r="P143" s="135"/>
      <c r="Q143" s="135"/>
      <c r="R143" s="136"/>
    </row>
    <row r="144" spans="2:18" ht="12.75">
      <c r="B144" s="125" t="s">
        <v>171</v>
      </c>
      <c r="C144" s="126" t="str">
        <f>IF($D$12="m","[kg]","[pounds]")</f>
        <v>[pounds]</v>
      </c>
      <c r="D144" s="180">
        <v>0</v>
      </c>
      <c r="E144" s="319">
        <f>12*D144</f>
        <v>0</v>
      </c>
      <c r="F144" s="320">
        <v>0</v>
      </c>
      <c r="G144" s="353">
        <f>D$250*250*E144*(1-H144*0.95)*IF($D$12="m",1,0.454)*$C$265</f>
        <v>0</v>
      </c>
      <c r="H144" s="387">
        <v>0.279</v>
      </c>
      <c r="I144" s="354"/>
      <c r="J144" s="181"/>
      <c r="K144" s="360">
        <f>IF($D$282+$H$282=0,0,(G144)*D$254/($D$282+$H$282)*C$269*D$269)</f>
        <v>0</v>
      </c>
      <c r="L144" s="136"/>
      <c r="O144" s="134">
        <f>+F144*E$9/60</f>
        <v>0</v>
      </c>
      <c r="P144" s="135"/>
      <c r="Q144" s="135"/>
      <c r="R144" s="136"/>
    </row>
    <row r="145" spans="2:18" ht="12.75">
      <c r="B145" s="125" t="s">
        <v>172</v>
      </c>
      <c r="C145" s="126" t="str">
        <f>IF($D$12="m","[kg]","[pounds]")</f>
        <v>[pounds]</v>
      </c>
      <c r="D145" s="180">
        <v>0</v>
      </c>
      <c r="E145" s="319">
        <f>12*D145</f>
        <v>0</v>
      </c>
      <c r="F145" s="320">
        <v>0</v>
      </c>
      <c r="G145" s="353">
        <f>D$250*60*E145*(1-H145*0.15)*IF($D$12="m",1,0.454)*$C$265</f>
        <v>0</v>
      </c>
      <c r="H145" s="387">
        <v>0.351</v>
      </c>
      <c r="I145" s="354"/>
      <c r="J145" s="181"/>
      <c r="K145" s="360">
        <f>IF($D$282+$H$282=0,0,(G145)*D$254/($D$282+$H$282)*C$269*D$269)</f>
        <v>0</v>
      </c>
      <c r="L145" s="136"/>
      <c r="O145" s="134">
        <f>+F145*E$9/60</f>
        <v>0</v>
      </c>
      <c r="P145" s="135"/>
      <c r="Q145" s="135"/>
      <c r="R145" s="136"/>
    </row>
    <row r="146" spans="2:18" ht="12.75">
      <c r="B146" s="125" t="s">
        <v>173</v>
      </c>
      <c r="C146" s="126" t="str">
        <f>IF($D$12="m","[kg]","[pounds]")</f>
        <v>[pounds]</v>
      </c>
      <c r="D146" s="180">
        <v>0</v>
      </c>
      <c r="E146" s="319">
        <f>12*D146</f>
        <v>0</v>
      </c>
      <c r="F146" s="320">
        <v>0</v>
      </c>
      <c r="G146" s="353">
        <f>D$250*15*E146*(1-H146*0.3)*IF($D$12="m",1,0.454)*$C$265</f>
        <v>0</v>
      </c>
      <c r="H146" s="387">
        <v>0.255</v>
      </c>
      <c r="I146" s="354"/>
      <c r="J146" s="354"/>
      <c r="K146" s="360">
        <f>IF($D$282+$H$282=0,0,(G146)*D$254/($D$282+$H$282)*C$269*D$269)</f>
        <v>0</v>
      </c>
      <c r="L146" s="136"/>
      <c r="O146" s="134">
        <f>+F146*E$9/60</f>
        <v>0</v>
      </c>
      <c r="P146" s="135"/>
      <c r="Q146" s="135"/>
      <c r="R146" s="136"/>
    </row>
    <row r="147" spans="2:18" ht="12.75">
      <c r="B147" s="125" t="s">
        <v>174</v>
      </c>
      <c r="C147" s="126" t="str">
        <f>IF($D$12="m","[kg]","[pounds]")</f>
        <v>[pounds]</v>
      </c>
      <c r="D147" s="180">
        <v>0</v>
      </c>
      <c r="E147" s="319">
        <f>12*D147</f>
        <v>0</v>
      </c>
      <c r="F147" s="320">
        <v>0</v>
      </c>
      <c r="G147" s="353">
        <f>D$250*50*E147*(1-H147*0.7)*IF($D$12="m",1,0.454)*$C$265</f>
        <v>0</v>
      </c>
      <c r="H147" s="387">
        <v>0.054</v>
      </c>
      <c r="I147" s="354"/>
      <c r="J147" s="354"/>
      <c r="K147" s="360">
        <f>IF($D$282+$H$282=0,0,(G147)*D$254/($D$282+$H$282)*C$269*D$269)</f>
        <v>0</v>
      </c>
      <c r="L147" s="136"/>
      <c r="O147" s="134">
        <f>+F147*E$9/60</f>
        <v>0</v>
      </c>
      <c r="P147" s="135"/>
      <c r="Q147" s="135"/>
      <c r="R147" s="136"/>
    </row>
    <row r="148" spans="2:18" ht="13.5" thickBot="1">
      <c r="B148" s="388"/>
      <c r="C148" s="389"/>
      <c r="D148" s="390"/>
      <c r="E148" s="363"/>
      <c r="F148" s="391"/>
      <c r="G148" s="392"/>
      <c r="H148" s="365"/>
      <c r="I148" s="365"/>
      <c r="J148" s="365"/>
      <c r="K148" s="393"/>
      <c r="L148" s="367"/>
      <c r="O148" s="134"/>
      <c r="P148" s="135"/>
      <c r="Q148" s="135"/>
      <c r="R148" s="136"/>
    </row>
    <row r="149" spans="2:18" ht="13.5" thickBot="1">
      <c r="B149" s="238" t="s">
        <v>175</v>
      </c>
      <c r="C149" s="239"/>
      <c r="D149" s="339">
        <f>SUM(D143:D147)</f>
        <v>0</v>
      </c>
      <c r="E149" s="373">
        <f>SUM(E143:E147)</f>
        <v>0</v>
      </c>
      <c r="F149" s="370">
        <f>+SUM(F143:F148)</f>
        <v>0</v>
      </c>
      <c r="G149" s="371">
        <f>+SUM(G143:G148)</f>
        <v>0</v>
      </c>
      <c r="H149" s="373">
        <v>0</v>
      </c>
      <c r="I149" s="373">
        <f>+SUM(I143:I148)</f>
        <v>0</v>
      </c>
      <c r="J149" s="373">
        <f>+SUM(J143:J148)</f>
        <v>0</v>
      </c>
      <c r="K149" s="394">
        <f>IF($D$282+$H$282=0,0,(G149)*D$254/($D$282+$H$282)*C$269*D$269)</f>
        <v>0</v>
      </c>
      <c r="L149" s="375">
        <v>0</v>
      </c>
      <c r="O149" s="166">
        <f>+F149*E$9/60</f>
        <v>0</v>
      </c>
      <c r="P149" s="135"/>
      <c r="Q149" s="135"/>
      <c r="R149" s="136"/>
    </row>
    <row r="150" spans="2:18" ht="17.25" thickBot="1" thickTop="1">
      <c r="B150" s="24"/>
      <c r="C150" s="53"/>
      <c r="D150" s="24"/>
      <c r="E150" s="24"/>
      <c r="F150" s="24"/>
      <c r="G150" s="24"/>
      <c r="H150" s="395"/>
      <c r="I150" s="24"/>
      <c r="J150" s="24"/>
      <c r="K150" s="24"/>
      <c r="L150" s="24"/>
      <c r="O150" s="396">
        <f>+O54+O82+O104+O125+O139+O149</f>
        <v>0</v>
      </c>
      <c r="P150" s="397"/>
      <c r="Q150" s="397"/>
      <c r="R150" s="398"/>
    </row>
    <row r="151" spans="2:18" ht="13.5" thickTop="1">
      <c r="B151" s="24"/>
      <c r="C151" s="53"/>
      <c r="D151" s="24"/>
      <c r="E151" s="24"/>
      <c r="F151" s="24"/>
      <c r="G151" s="399"/>
      <c r="H151" s="399"/>
      <c r="I151" s="399"/>
      <c r="J151" s="399"/>
      <c r="K151" s="399"/>
      <c r="L151" s="399"/>
      <c r="M151" s="218"/>
      <c r="N151" s="24"/>
      <c r="O151" s="24"/>
      <c r="P151" s="24"/>
      <c r="Q151" s="24"/>
      <c r="R151" s="24"/>
    </row>
    <row r="152" spans="2:17" ht="12.75">
      <c r="B152" s="24"/>
      <c r="C152" s="53"/>
      <c r="D152" s="24"/>
      <c r="E152" s="24"/>
      <c r="F152" s="24"/>
      <c r="G152" s="24"/>
      <c r="H152" s="24"/>
      <c r="I152" s="24"/>
      <c r="J152" s="24"/>
      <c r="K152" s="24"/>
      <c r="L152" s="399"/>
      <c r="O152" s="26"/>
      <c r="P152" s="26"/>
      <c r="Q152" s="26"/>
    </row>
    <row r="153" spans="2:10" ht="12.75">
      <c r="B153" s="26"/>
      <c r="C153" s="26"/>
      <c r="D153" s="26"/>
      <c r="E153" s="26"/>
      <c r="F153" s="26"/>
      <c r="G153" s="26"/>
      <c r="H153" s="26"/>
      <c r="I153" s="26"/>
      <c r="J153" s="26"/>
    </row>
    <row r="154" spans="2:17" ht="12.75">
      <c r="B154" s="24"/>
      <c r="C154" s="53"/>
      <c r="D154" s="400"/>
      <c r="E154" s="400"/>
      <c r="F154" s="400"/>
      <c r="G154" s="400"/>
      <c r="H154" s="400"/>
      <c r="I154" s="400"/>
      <c r="J154" s="26"/>
      <c r="K154" s="26"/>
      <c r="L154" s="26"/>
      <c r="O154" s="24"/>
      <c r="P154" s="53"/>
      <c r="Q154" s="47"/>
    </row>
    <row r="155" ht="13.5" thickBot="1"/>
    <row r="156" spans="2:10" ht="30.75" thickTop="1">
      <c r="B156" s="401" t="s">
        <v>176</v>
      </c>
      <c r="C156" s="402"/>
      <c r="D156" s="403"/>
      <c r="E156" s="404"/>
      <c r="F156" s="403"/>
      <c r="G156" s="403"/>
      <c r="H156" s="405"/>
      <c r="I156" s="403"/>
      <c r="J156" s="406"/>
    </row>
    <row r="157" spans="2:10" ht="30">
      <c r="B157" s="407"/>
      <c r="C157" s="408"/>
      <c r="D157" s="409"/>
      <c r="E157" s="410"/>
      <c r="F157" s="409"/>
      <c r="G157" s="409"/>
      <c r="H157" s="411"/>
      <c r="I157" s="409"/>
      <c r="J157" s="412"/>
    </row>
    <row r="158" spans="2:10" ht="23.25">
      <c r="B158" s="413" t="s">
        <v>177</v>
      </c>
      <c r="C158" s="414">
        <f>IF($D$12="m",J176/10000,J176/10000*2.47)</f>
        <v>0</v>
      </c>
      <c r="D158" s="415" t="str">
        <f>IF($D$12="m","global hectares.","global acres.")</f>
        <v>global acres.</v>
      </c>
      <c r="E158" s="416"/>
      <c r="F158" s="409"/>
      <c r="G158" s="409"/>
      <c r="H158" s="409"/>
      <c r="I158" s="409"/>
      <c r="J158" s="412"/>
    </row>
    <row r="159" spans="2:10" ht="12.75">
      <c r="B159" s="417"/>
      <c r="C159" s="416"/>
      <c r="D159" s="416"/>
      <c r="E159" s="416"/>
      <c r="F159" s="409"/>
      <c r="G159" s="409"/>
      <c r="H159" s="409"/>
      <c r="I159" s="409"/>
      <c r="J159" s="412"/>
    </row>
    <row r="160" spans="2:10" ht="18.75">
      <c r="B160" s="418"/>
      <c r="C160" s="416"/>
      <c r="D160" s="416"/>
      <c r="E160" s="409"/>
      <c r="F160" s="409"/>
      <c r="G160" s="409"/>
      <c r="H160" s="409"/>
      <c r="I160" s="409"/>
      <c r="J160" s="412"/>
    </row>
    <row r="161" spans="2:10" ht="13.5" thickBot="1">
      <c r="B161" s="419"/>
      <c r="C161" s="420"/>
      <c r="D161" s="420"/>
      <c r="E161" s="420"/>
      <c r="F161" s="421"/>
      <c r="G161" s="421"/>
      <c r="H161" s="422"/>
      <c r="I161" s="421"/>
      <c r="J161" s="423"/>
    </row>
    <row r="162" spans="2:14" ht="14.25" customHeight="1" thickTop="1">
      <c r="B162" s="26"/>
      <c r="C162" s="26"/>
      <c r="D162" s="26"/>
      <c r="E162" s="26"/>
      <c r="F162" s="26"/>
      <c r="G162" s="24"/>
      <c r="H162" s="57"/>
      <c r="I162" s="57"/>
      <c r="J162" s="24"/>
      <c r="K162" s="24"/>
      <c r="L162" s="24"/>
      <c r="M162" s="24"/>
      <c r="N162" s="24"/>
    </row>
    <row r="163" spans="2:14" ht="15.75" customHeight="1">
      <c r="B163" s="55"/>
      <c r="C163" s="424"/>
      <c r="D163" s="24"/>
      <c r="E163" s="55"/>
      <c r="F163" s="24"/>
      <c r="G163" s="24"/>
      <c r="H163" s="57"/>
      <c r="I163" s="57"/>
      <c r="J163" s="24"/>
      <c r="K163" s="24"/>
      <c r="L163" s="24"/>
      <c r="M163" s="24"/>
      <c r="N163" s="24"/>
    </row>
    <row r="164" spans="2:11" ht="15.75" customHeight="1" thickBot="1">
      <c r="B164" s="55"/>
      <c r="C164" s="424"/>
      <c r="D164" s="24"/>
      <c r="E164" s="55"/>
      <c r="F164" s="24"/>
      <c r="G164" s="24"/>
      <c r="H164" s="57"/>
      <c r="I164" s="57"/>
      <c r="J164" s="24"/>
      <c r="K164" s="24"/>
    </row>
    <row r="165" spans="2:14" ht="24" thickTop="1">
      <c r="B165" s="425" t="s">
        <v>265</v>
      </c>
      <c r="C165" s="426"/>
      <c r="D165" s="427"/>
      <c r="E165" s="428"/>
      <c r="F165" s="429"/>
      <c r="G165" s="429"/>
      <c r="H165" s="429"/>
      <c r="I165" s="429"/>
      <c r="J165" s="430"/>
      <c r="K165" s="24"/>
      <c r="L165" s="431"/>
      <c r="M165" s="432" t="s">
        <v>178</v>
      </c>
      <c r="N165" s="430"/>
    </row>
    <row r="166" spans="2:14" ht="18.75" customHeight="1" thickBot="1">
      <c r="B166" s="433"/>
      <c r="C166" s="434"/>
      <c r="D166" s="435"/>
      <c r="E166" s="436"/>
      <c r="F166" s="437"/>
      <c r="G166" s="437"/>
      <c r="H166" s="437"/>
      <c r="I166" s="437"/>
      <c r="J166" s="438"/>
      <c r="K166" s="24"/>
      <c r="L166" s="439"/>
      <c r="M166" s="440" t="s">
        <v>179</v>
      </c>
      <c r="N166" s="441"/>
    </row>
    <row r="167" spans="2:14" ht="17.25" thickBot="1" thickTop="1">
      <c r="B167" s="442"/>
      <c r="C167" s="443"/>
      <c r="D167" s="444" t="s">
        <v>18</v>
      </c>
      <c r="E167" s="444" t="s">
        <v>19</v>
      </c>
      <c r="F167" s="444" t="s">
        <v>20</v>
      </c>
      <c r="G167" s="444" t="s">
        <v>21</v>
      </c>
      <c r="H167" s="444" t="s">
        <v>22</v>
      </c>
      <c r="I167" s="444" t="s">
        <v>23</v>
      </c>
      <c r="J167" s="445" t="s">
        <v>180</v>
      </c>
      <c r="K167" s="446"/>
      <c r="L167" s="447"/>
      <c r="M167" s="448" t="s">
        <v>181</v>
      </c>
      <c r="N167" s="449" t="s">
        <v>182</v>
      </c>
    </row>
    <row r="168" spans="2:14" ht="15">
      <c r="B168" s="450"/>
      <c r="C168" s="451"/>
      <c r="D168" s="452" t="s">
        <v>29</v>
      </c>
      <c r="E168" s="452"/>
      <c r="F168" s="452"/>
      <c r="G168" s="452"/>
      <c r="H168" s="452" t="s">
        <v>30</v>
      </c>
      <c r="I168" s="452"/>
      <c r="J168" s="453"/>
      <c r="K168" s="446"/>
      <c r="L168" s="454" t="s">
        <v>183</v>
      </c>
      <c r="M168" s="130">
        <f>(((E37*(95)*IF($D$12="m",1,2*0.473))+(E39*177)*IF($D$12="m",1,0.454)+(E40*(126*50/1000))*IF($D$12="m",1,0.454)+(E42*161)*IF($D$12="m",1,0.454)+(E43*228)*IF($D$12="m",1,0.454)+((E44)*224)*IF($D$12="m",1,0.454)+(E45*210)*IF($D$12="m",1,0.454))/365*(1-F25))/D18</f>
        <v>0</v>
      </c>
      <c r="N168" s="455">
        <f>(((E37*(530)*IF($D$12="m",1,2*0.473))+(E39*3930)*IF($D$12="m",1,0.454)+(E40*(1630*50/1000))*IF($D$12="m",1,0.454)+(E42*4070)*IF($D$12="m",1,0.454)+(E43*2220)*IF($D$12="m",1,0.454)+((E44)*2890)*IF($D$12="m",1,0.454)+(E45*1290)*IF($D$12="m",1,0.454)+(E53*(1500/2)))/365*(1-F25))/D18</f>
        <v>0</v>
      </c>
    </row>
    <row r="169" spans="2:15" ht="15.75" thickBot="1">
      <c r="B169" s="450" t="s">
        <v>13</v>
      </c>
      <c r="C169" s="451"/>
      <c r="D169" s="452" t="s">
        <v>184</v>
      </c>
      <c r="E169" s="452" t="s">
        <v>184</v>
      </c>
      <c r="F169" s="452" t="s">
        <v>184</v>
      </c>
      <c r="G169" s="452" t="s">
        <v>184</v>
      </c>
      <c r="H169" s="452" t="s">
        <v>184</v>
      </c>
      <c r="I169" s="452" t="s">
        <v>184</v>
      </c>
      <c r="J169" s="453" t="s">
        <v>184</v>
      </c>
      <c r="K169" s="456"/>
      <c r="L169" s="457" t="s">
        <v>185</v>
      </c>
      <c r="M169" s="130">
        <f>(((E32*15)*IF($D$12="m",1,0.454)+(E33*80)*IF($D$12="m",1,0.454)+(E34*78)*IF($D$12="m",1,0.454)+(E36*187)*IF($D$12="m",1,0.454)+(E50*4)*IF($D$12="m",1,2*0.473)+(E46*0)*IF($D$12="m",1,0.454)+(E48+35)*0*IF($D$12="m",1,0.454))/365*(1-F25))/D18</f>
        <v>0</v>
      </c>
      <c r="N169" s="458">
        <f>(((E32*(600)*IF($D$12="m",1,0.454))+(E33*2975)*IF($D$12="m",1,0.454)+(E34*2830)*IF($D$12="m",1,0.454)+(E36*2900)*IF($D$12="m",1,0.454)+(E50*520)*IF($D$12="m",1,2*0.473)+(E46*0)*IF($D$12="m",1,0.454)+(E48*8890)*IF($D$12="m",1,0.454)+(E47*8890)*IF($D$12="m",1,2*0.473)+(E53*1500/2))/365*(1-F25))/D18</f>
        <v>0</v>
      </c>
      <c r="O169" s="324"/>
    </row>
    <row r="170" spans="2:15" ht="16.5" thickBot="1">
      <c r="B170" s="459" t="s">
        <v>186</v>
      </c>
      <c r="C170" s="460"/>
      <c r="D170" s="461">
        <f>+G54/$D$18*D253*D276</f>
        <v>0</v>
      </c>
      <c r="E170" s="461">
        <f>+H54/$D$18*E276</f>
        <v>0</v>
      </c>
      <c r="F170" s="461">
        <f>+I54/$D$18*F276</f>
        <v>0</v>
      </c>
      <c r="G170" s="461">
        <f>+J54/$D$18</f>
        <v>0</v>
      </c>
      <c r="H170" s="461">
        <f>+K54/$D$18</f>
        <v>0</v>
      </c>
      <c r="I170" s="462">
        <f>+L54/$D$18*I276</f>
        <v>0</v>
      </c>
      <c r="J170" s="463">
        <f aca="true" t="shared" si="14" ref="J170:J175">+SUM(D170:I170)</f>
        <v>0</v>
      </c>
      <c r="K170" s="464"/>
      <c r="L170" s="465" t="s">
        <v>187</v>
      </c>
      <c r="M170" s="130">
        <f>SUM(M168:M169)</f>
        <v>0</v>
      </c>
      <c r="N170" s="455">
        <f>SUM(N168:N169)</f>
        <v>0</v>
      </c>
      <c r="O170" s="324"/>
    </row>
    <row r="171" spans="2:14" ht="17.25" thickBot="1" thickTop="1">
      <c r="B171" s="466" t="s">
        <v>188</v>
      </c>
      <c r="C171" s="467"/>
      <c r="D171" s="322">
        <f>+G82/$D$18*D253*D277</f>
        <v>0</v>
      </c>
      <c r="E171" s="322">
        <f>+H82/$D$18</f>
        <v>0</v>
      </c>
      <c r="F171" s="322">
        <f>+I82/$D$18</f>
        <v>0</v>
      </c>
      <c r="G171" s="322">
        <f>+J82/$D$18*G277</f>
        <v>0</v>
      </c>
      <c r="H171" s="322">
        <f>+K82/$D$18*H277</f>
        <v>0</v>
      </c>
      <c r="I171" s="468">
        <f>+L82/$D$18</f>
        <v>0</v>
      </c>
      <c r="J171" s="469">
        <f t="shared" si="14"/>
        <v>0</v>
      </c>
      <c r="K171" s="464"/>
      <c r="L171" s="470" t="s">
        <v>189</v>
      </c>
      <c r="M171" s="471">
        <v>60</v>
      </c>
      <c r="N171" s="472">
        <v>2900</v>
      </c>
    </row>
    <row r="172" spans="2:11" ht="13.5" thickTop="1">
      <c r="B172" s="473" t="s">
        <v>190</v>
      </c>
      <c r="C172" s="474"/>
      <c r="D172" s="322">
        <f>+G104/$D$18*D253*D278</f>
        <v>0</v>
      </c>
      <c r="E172" s="322">
        <f>+H104/$D$18</f>
        <v>0</v>
      </c>
      <c r="F172" s="322">
        <f>+I104/$D$18</f>
        <v>0</v>
      </c>
      <c r="G172" s="322">
        <f>+J104/$D$18</f>
        <v>0</v>
      </c>
      <c r="H172" s="322">
        <f>+K104/$D$18*H278</f>
        <v>0</v>
      </c>
      <c r="I172" s="468">
        <f>+L104/$D$18</f>
        <v>0</v>
      </c>
      <c r="J172" s="469">
        <f t="shared" si="14"/>
        <v>0</v>
      </c>
      <c r="K172" s="464"/>
    </row>
    <row r="173" spans="2:14" ht="12.75">
      <c r="B173" s="473" t="s">
        <v>191</v>
      </c>
      <c r="C173" s="474"/>
      <c r="D173" s="322">
        <f>+G125/$D$18*D253*D279</f>
        <v>0</v>
      </c>
      <c r="E173" s="322">
        <f>+H125/$D$18*E279</f>
        <v>0</v>
      </c>
      <c r="F173" s="475">
        <f>+I125/$D$18*F279</f>
        <v>0</v>
      </c>
      <c r="G173" s="322">
        <f>+J125/$D$18*G279</f>
        <v>0</v>
      </c>
      <c r="H173" s="322">
        <f>+K125/$D$18*H279</f>
        <v>0</v>
      </c>
      <c r="I173" s="468">
        <f>+L125/$D$18</f>
        <v>0</v>
      </c>
      <c r="J173" s="469">
        <f t="shared" si="14"/>
        <v>0</v>
      </c>
      <c r="K173" s="464"/>
      <c r="L173" s="26"/>
      <c r="M173" s="26"/>
      <c r="N173" s="26"/>
    </row>
    <row r="174" spans="2:14" ht="12.75">
      <c r="B174" s="473" t="s">
        <v>192</v>
      </c>
      <c r="C174" s="474"/>
      <c r="D174" s="322">
        <f>+G139/$D$18*D253*D280</f>
        <v>0</v>
      </c>
      <c r="E174" s="322">
        <f>+H139/$D$18</f>
        <v>0</v>
      </c>
      <c r="F174" s="322">
        <f>+I139/$D$18</f>
        <v>0</v>
      </c>
      <c r="G174" s="322">
        <f>+J139/$D$18*G280</f>
        <v>0</v>
      </c>
      <c r="H174" s="322">
        <f>+K139/$D$18*H280</f>
        <v>0</v>
      </c>
      <c r="I174" s="468">
        <f>+L139/$D$18</f>
        <v>0</v>
      </c>
      <c r="J174" s="469">
        <f t="shared" si="14"/>
        <v>0</v>
      </c>
      <c r="K174" s="464"/>
      <c r="L174" s="26"/>
      <c r="M174" s="26"/>
      <c r="N174" s="26"/>
    </row>
    <row r="175" spans="2:14" ht="13.5" thickBot="1">
      <c r="B175" s="476" t="s">
        <v>193</v>
      </c>
      <c r="C175" s="477"/>
      <c r="D175" s="478">
        <f>+G149/$D$18*D253*D281</f>
        <v>0</v>
      </c>
      <c r="E175" s="478">
        <f>+H149/$D$18</f>
        <v>0</v>
      </c>
      <c r="F175" s="478">
        <f>+I149/$D$18</f>
        <v>0</v>
      </c>
      <c r="G175" s="478">
        <f>+J149/$D$18*G281</f>
        <v>0</v>
      </c>
      <c r="H175" s="478">
        <f>+K149/$D$18*H281</f>
        <v>0</v>
      </c>
      <c r="I175" s="479">
        <f>+L149/$D$18</f>
        <v>0</v>
      </c>
      <c r="J175" s="480">
        <f t="shared" si="14"/>
        <v>0</v>
      </c>
      <c r="K175" s="464"/>
      <c r="L175" s="26"/>
      <c r="M175" s="26"/>
      <c r="N175" s="26"/>
    </row>
    <row r="176" spans="2:14" ht="22.5" customHeight="1" thickBot="1">
      <c r="B176" s="481" t="s">
        <v>180</v>
      </c>
      <c r="C176" s="482"/>
      <c r="D176" s="483">
        <f aca="true" t="shared" si="15" ref="D176:J176">+SUM(D170:D175)</f>
        <v>0</v>
      </c>
      <c r="E176" s="483">
        <f t="shared" si="15"/>
        <v>0</v>
      </c>
      <c r="F176" s="483">
        <f t="shared" si="15"/>
        <v>0</v>
      </c>
      <c r="G176" s="483">
        <f t="shared" si="15"/>
        <v>0</v>
      </c>
      <c r="H176" s="483">
        <f t="shared" si="15"/>
        <v>0</v>
      </c>
      <c r="I176" s="484">
        <f t="shared" si="15"/>
        <v>0</v>
      </c>
      <c r="J176" s="485">
        <f t="shared" si="15"/>
        <v>0</v>
      </c>
      <c r="K176" s="464"/>
      <c r="L176" s="26"/>
      <c r="M176" s="26"/>
      <c r="N176" s="26"/>
    </row>
    <row r="177" spans="2:14" ht="13.5" customHeight="1" thickTop="1">
      <c r="B177" s="12"/>
      <c r="C177" s="12"/>
      <c r="D177" s="193"/>
      <c r="E177" s="193"/>
      <c r="F177" s="193"/>
      <c r="G177" s="193"/>
      <c r="H177" s="193"/>
      <c r="I177" s="193"/>
      <c r="J177" s="486"/>
      <c r="K177" s="487"/>
      <c r="L177" s="26"/>
      <c r="M177" s="26"/>
      <c r="N177" s="26"/>
    </row>
    <row r="178" spans="2:14" ht="12.75">
      <c r="B178" s="24"/>
      <c r="C178" s="53"/>
      <c r="E178" s="249"/>
      <c r="F178" s="488"/>
      <c r="G178" s="26"/>
      <c r="H178" s="26"/>
      <c r="I178" s="26"/>
      <c r="J178" s="249"/>
      <c r="K178" s="24"/>
      <c r="L178" s="26"/>
      <c r="M178" s="26"/>
      <c r="N178" s="26"/>
    </row>
    <row r="179" spans="2:14" ht="13.5" thickBot="1">
      <c r="B179" s="24"/>
      <c r="C179" s="53"/>
      <c r="D179" s="24"/>
      <c r="E179" s="24"/>
      <c r="F179" s="24"/>
      <c r="G179" s="24"/>
      <c r="H179" s="24"/>
      <c r="I179" s="24"/>
      <c r="J179" s="24"/>
      <c r="M179" s="26"/>
      <c r="N179" s="26"/>
    </row>
    <row r="180" spans="2:14" ht="18.75" thickTop="1">
      <c r="B180" s="489" t="s">
        <v>194</v>
      </c>
      <c r="C180" s="426"/>
      <c r="D180" s="429"/>
      <c r="E180" s="429"/>
      <c r="F180" s="429"/>
      <c r="G180" s="429"/>
      <c r="H180" s="429"/>
      <c r="I180" s="429"/>
      <c r="J180" s="430"/>
      <c r="M180" s="26"/>
      <c r="N180" s="26"/>
    </row>
    <row r="181" spans="2:15" ht="13.5" thickBot="1">
      <c r="B181" s="490"/>
      <c r="C181" s="491"/>
      <c r="D181" s="437"/>
      <c r="E181" s="492"/>
      <c r="F181" s="437"/>
      <c r="G181" s="437"/>
      <c r="H181" s="492"/>
      <c r="I181" s="492"/>
      <c r="J181" s="493"/>
      <c r="M181" s="494"/>
      <c r="N181" s="494"/>
      <c r="O181" s="494"/>
    </row>
    <row r="182" spans="2:16" ht="12.75">
      <c r="B182" s="442"/>
      <c r="C182" s="443"/>
      <c r="D182" s="444" t="s">
        <v>18</v>
      </c>
      <c r="E182" s="444" t="s">
        <v>19</v>
      </c>
      <c r="F182" s="444" t="s">
        <v>20</v>
      </c>
      <c r="G182" s="444" t="s">
        <v>21</v>
      </c>
      <c r="H182" s="444" t="s">
        <v>22</v>
      </c>
      <c r="I182" s="444" t="s">
        <v>23</v>
      </c>
      <c r="J182" s="495" t="s">
        <v>180</v>
      </c>
      <c r="M182" s="26"/>
      <c r="N182" s="26"/>
      <c r="O182" s="26"/>
      <c r="P182" s="26"/>
    </row>
    <row r="183" spans="2:16" ht="13.5" thickBot="1">
      <c r="B183" s="496" t="s">
        <v>13</v>
      </c>
      <c r="C183" s="497"/>
      <c r="D183" s="498" t="s">
        <v>29</v>
      </c>
      <c r="E183" s="498"/>
      <c r="F183" s="498"/>
      <c r="G183" s="498"/>
      <c r="H183" s="498" t="s">
        <v>30</v>
      </c>
      <c r="I183" s="499"/>
      <c r="J183" s="500"/>
      <c r="M183" s="26"/>
      <c r="N183" s="26"/>
      <c r="O183" s="26"/>
      <c r="P183" s="26"/>
    </row>
    <row r="184" spans="2:16" ht="12.75">
      <c r="B184" s="439" t="s">
        <v>186</v>
      </c>
      <c r="C184" s="501"/>
      <c r="D184" s="502">
        <f aca="true" t="shared" si="16" ref="D184:J190">IF($J$176=0,0,D170/$J$176)</f>
        <v>0</v>
      </c>
      <c r="E184" s="502">
        <f t="shared" si="16"/>
        <v>0</v>
      </c>
      <c r="F184" s="502">
        <f t="shared" si="16"/>
        <v>0</v>
      </c>
      <c r="G184" s="502">
        <f t="shared" si="16"/>
        <v>0</v>
      </c>
      <c r="H184" s="502">
        <f t="shared" si="16"/>
        <v>0</v>
      </c>
      <c r="I184" s="503">
        <f t="shared" si="16"/>
        <v>0</v>
      </c>
      <c r="J184" s="504">
        <f t="shared" si="16"/>
        <v>0</v>
      </c>
      <c r="M184" s="26"/>
      <c r="N184" s="26"/>
      <c r="O184" s="26"/>
      <c r="P184" s="26"/>
    </row>
    <row r="185" spans="2:15" ht="12.75">
      <c r="B185" s="466" t="s">
        <v>188</v>
      </c>
      <c r="C185" s="467"/>
      <c r="D185" s="505">
        <f t="shared" si="16"/>
        <v>0</v>
      </c>
      <c r="E185" s="505">
        <f t="shared" si="16"/>
        <v>0</v>
      </c>
      <c r="F185" s="505">
        <f t="shared" si="16"/>
        <v>0</v>
      </c>
      <c r="G185" s="505">
        <f t="shared" si="16"/>
        <v>0</v>
      </c>
      <c r="H185" s="505">
        <f t="shared" si="16"/>
        <v>0</v>
      </c>
      <c r="I185" s="506">
        <f t="shared" si="16"/>
        <v>0</v>
      </c>
      <c r="J185" s="507">
        <f t="shared" si="16"/>
        <v>0</v>
      </c>
      <c r="O185" s="26"/>
    </row>
    <row r="186" spans="2:10" ht="12.75">
      <c r="B186" s="473" t="s">
        <v>190</v>
      </c>
      <c r="C186" s="474"/>
      <c r="D186" s="505">
        <f t="shared" si="16"/>
        <v>0</v>
      </c>
      <c r="E186" s="505">
        <f t="shared" si="16"/>
        <v>0</v>
      </c>
      <c r="F186" s="505">
        <f t="shared" si="16"/>
        <v>0</v>
      </c>
      <c r="G186" s="505">
        <f t="shared" si="16"/>
        <v>0</v>
      </c>
      <c r="H186" s="505">
        <f t="shared" si="16"/>
        <v>0</v>
      </c>
      <c r="I186" s="506">
        <f t="shared" si="16"/>
        <v>0</v>
      </c>
      <c r="J186" s="507">
        <f t="shared" si="16"/>
        <v>0</v>
      </c>
    </row>
    <row r="187" spans="2:14" ht="12.75">
      <c r="B187" s="473" t="s">
        <v>191</v>
      </c>
      <c r="C187" s="474"/>
      <c r="D187" s="505">
        <f t="shared" si="16"/>
        <v>0</v>
      </c>
      <c r="E187" s="505">
        <f t="shared" si="16"/>
        <v>0</v>
      </c>
      <c r="F187" s="505">
        <f t="shared" si="16"/>
        <v>0</v>
      </c>
      <c r="G187" s="505">
        <f t="shared" si="16"/>
        <v>0</v>
      </c>
      <c r="H187" s="505">
        <f t="shared" si="16"/>
        <v>0</v>
      </c>
      <c r="I187" s="506">
        <f t="shared" si="16"/>
        <v>0</v>
      </c>
      <c r="J187" s="507">
        <f t="shared" si="16"/>
        <v>0</v>
      </c>
      <c r="N187" s="250"/>
    </row>
    <row r="188" spans="2:10" ht="12.75">
      <c r="B188" s="473" t="s">
        <v>192</v>
      </c>
      <c r="C188" s="474"/>
      <c r="D188" s="505">
        <f t="shared" si="16"/>
        <v>0</v>
      </c>
      <c r="E188" s="505">
        <f t="shared" si="16"/>
        <v>0</v>
      </c>
      <c r="F188" s="505">
        <f t="shared" si="16"/>
        <v>0</v>
      </c>
      <c r="G188" s="505">
        <f t="shared" si="16"/>
        <v>0</v>
      </c>
      <c r="H188" s="505">
        <f t="shared" si="16"/>
        <v>0</v>
      </c>
      <c r="I188" s="506">
        <f t="shared" si="16"/>
        <v>0</v>
      </c>
      <c r="J188" s="507">
        <f t="shared" si="16"/>
        <v>0</v>
      </c>
    </row>
    <row r="189" spans="2:10" ht="13.5" thickBot="1">
      <c r="B189" s="508" t="s">
        <v>193</v>
      </c>
      <c r="C189" s="509"/>
      <c r="D189" s="510">
        <f t="shared" si="16"/>
        <v>0</v>
      </c>
      <c r="E189" s="510">
        <f t="shared" si="16"/>
        <v>0</v>
      </c>
      <c r="F189" s="510">
        <f t="shared" si="16"/>
        <v>0</v>
      </c>
      <c r="G189" s="510">
        <f t="shared" si="16"/>
        <v>0</v>
      </c>
      <c r="H189" s="510">
        <f t="shared" si="16"/>
        <v>0</v>
      </c>
      <c r="I189" s="511">
        <f t="shared" si="16"/>
        <v>0</v>
      </c>
      <c r="J189" s="512">
        <f t="shared" si="16"/>
        <v>0</v>
      </c>
    </row>
    <row r="190" spans="2:10" ht="13.5" thickBot="1">
      <c r="B190" s="481" t="s">
        <v>180</v>
      </c>
      <c r="C190" s="482"/>
      <c r="D190" s="513">
        <f t="shared" si="16"/>
        <v>0</v>
      </c>
      <c r="E190" s="513">
        <f t="shared" si="16"/>
        <v>0</v>
      </c>
      <c r="F190" s="513">
        <f t="shared" si="16"/>
        <v>0</v>
      </c>
      <c r="G190" s="513">
        <f t="shared" si="16"/>
        <v>0</v>
      </c>
      <c r="H190" s="513">
        <f t="shared" si="16"/>
        <v>0</v>
      </c>
      <c r="I190" s="514">
        <f t="shared" si="16"/>
        <v>0</v>
      </c>
      <c r="J190" s="515">
        <f t="shared" si="16"/>
        <v>0</v>
      </c>
    </row>
    <row r="191" ht="13.5" thickTop="1"/>
    <row r="192" ht="12.75"/>
    <row r="193" ht="12.75"/>
    <row r="194" spans="2:14" ht="12.75">
      <c r="B194" s="18"/>
      <c r="C194" s="167"/>
      <c r="D194" s="18"/>
      <c r="E194" s="18"/>
      <c r="F194" s="18"/>
      <c r="G194" s="18"/>
      <c r="H194" s="18"/>
      <c r="I194" s="18"/>
      <c r="J194" s="18"/>
      <c r="K194" s="18"/>
      <c r="L194" s="18"/>
      <c r="M194" s="108"/>
      <c r="N194" s="108"/>
    </row>
    <row r="195" spans="2:14" ht="12.75">
      <c r="B195" s="18"/>
      <c r="C195" s="167"/>
      <c r="D195" s="18"/>
      <c r="E195" s="18"/>
      <c r="F195" s="18"/>
      <c r="G195" s="18"/>
      <c r="H195" s="18"/>
      <c r="I195" s="18"/>
      <c r="J195" s="18"/>
      <c r="K195" s="18"/>
      <c r="L195" s="18"/>
      <c r="M195" s="108"/>
      <c r="N195" s="108"/>
    </row>
    <row r="196" spans="2:14" ht="12.75">
      <c r="B196" s="18"/>
      <c r="C196" s="167"/>
      <c r="D196" s="18"/>
      <c r="E196" s="18"/>
      <c r="F196" s="18"/>
      <c r="G196" s="18"/>
      <c r="H196" s="18"/>
      <c r="I196" s="18"/>
      <c r="J196" s="18"/>
      <c r="K196" s="18"/>
      <c r="L196" s="18"/>
      <c r="M196" s="108"/>
      <c r="N196" s="108"/>
    </row>
    <row r="197" spans="2:14" ht="12.75">
      <c r="B197" s="18"/>
      <c r="C197" s="167"/>
      <c r="D197" s="18"/>
      <c r="E197" s="18"/>
      <c r="F197" s="18"/>
      <c r="G197" s="18"/>
      <c r="H197" s="18"/>
      <c r="I197" s="18"/>
      <c r="J197" s="18"/>
      <c r="K197" s="18"/>
      <c r="L197" s="18"/>
      <c r="M197" s="108"/>
      <c r="N197" s="108"/>
    </row>
    <row r="198" spans="2:14" ht="12.75">
      <c r="B198" s="18"/>
      <c r="C198" s="167"/>
      <c r="D198" s="18"/>
      <c r="E198" s="18"/>
      <c r="F198" s="18"/>
      <c r="G198" s="18"/>
      <c r="H198" s="18"/>
      <c r="I198" s="18"/>
      <c r="J198" s="18"/>
      <c r="K198" s="18"/>
      <c r="L198" s="18"/>
      <c r="M198" s="108"/>
      <c r="N198" s="108"/>
    </row>
    <row r="199" spans="2:14" ht="12.75">
      <c r="B199" s="18"/>
      <c r="C199" s="167"/>
      <c r="D199" s="18"/>
      <c r="E199" s="18"/>
      <c r="F199" s="18"/>
      <c r="G199" s="18"/>
      <c r="H199" s="18"/>
      <c r="I199" s="18"/>
      <c r="J199" s="18"/>
      <c r="K199" s="18"/>
      <c r="L199" s="18"/>
      <c r="M199" s="108"/>
      <c r="N199" s="108"/>
    </row>
    <row r="200" spans="2:14" ht="12.75">
      <c r="B200" s="18"/>
      <c r="C200" s="167"/>
      <c r="D200" s="18"/>
      <c r="E200" s="18"/>
      <c r="F200" s="18"/>
      <c r="G200" s="18"/>
      <c r="H200" s="18"/>
      <c r="I200" s="18"/>
      <c r="J200" s="18"/>
      <c r="K200" s="18"/>
      <c r="L200" s="18"/>
      <c r="M200" s="108"/>
      <c r="N200" s="108"/>
    </row>
    <row r="201" spans="2:14" ht="12.75">
      <c r="B201" s="18"/>
      <c r="C201" s="167"/>
      <c r="D201" s="18"/>
      <c r="E201" s="18"/>
      <c r="F201" s="18"/>
      <c r="G201" s="18"/>
      <c r="H201" s="18"/>
      <c r="I201" s="18"/>
      <c r="J201" s="18"/>
      <c r="K201" s="18"/>
      <c r="L201" s="18"/>
      <c r="M201" s="108"/>
      <c r="N201" s="108"/>
    </row>
    <row r="202" spans="2:14" ht="22.5" customHeight="1">
      <c r="B202" s="18"/>
      <c r="C202" s="167"/>
      <c r="D202" s="18"/>
      <c r="E202" s="18"/>
      <c r="F202" s="18"/>
      <c r="G202" s="18"/>
      <c r="H202" s="18"/>
      <c r="I202" s="18"/>
      <c r="J202" s="18"/>
      <c r="K202" s="18"/>
      <c r="L202" s="18"/>
      <c r="M202" s="108"/>
      <c r="N202" s="108"/>
    </row>
    <row r="203" ht="12.75"/>
    <row r="204" ht="12.75"/>
    <row r="205" ht="12.75"/>
    <row r="206" spans="1:12" s="517" customFormat="1" ht="22.5" customHeight="1">
      <c r="A206" s="516" t="s">
        <v>195</v>
      </c>
      <c r="C206" s="516" t="s">
        <v>195</v>
      </c>
      <c r="D206" s="516"/>
      <c r="E206" s="516"/>
      <c r="F206" s="516" t="s">
        <v>195</v>
      </c>
      <c r="G206" s="516"/>
      <c r="H206" s="516"/>
      <c r="I206" s="516" t="s">
        <v>195</v>
      </c>
      <c r="L206" s="516" t="s">
        <v>195</v>
      </c>
    </row>
    <row r="207" ht="12.75"/>
    <row r="208" spans="2:5" ht="12.75">
      <c r="B208" s="518"/>
      <c r="C208" s="519" t="s">
        <v>196</v>
      </c>
      <c r="D208" s="37"/>
      <c r="E208" s="38"/>
    </row>
    <row r="209" ht="13.5" thickBot="1"/>
    <row r="210" spans="2:5" ht="12.75">
      <c r="B210" s="520" t="s">
        <v>197</v>
      </c>
      <c r="C210" s="521" t="s">
        <v>198</v>
      </c>
      <c r="D210" s="521" t="s">
        <v>199</v>
      </c>
      <c r="E210" s="10" t="s">
        <v>200</v>
      </c>
    </row>
    <row r="211" spans="2:5" ht="12.75">
      <c r="B211" s="21"/>
      <c r="C211" s="522" t="s">
        <v>201</v>
      </c>
      <c r="D211" s="522" t="s">
        <v>201</v>
      </c>
      <c r="E211" s="20"/>
    </row>
    <row r="212" spans="2:6" ht="12.75">
      <c r="B212" s="523" t="s">
        <v>65</v>
      </c>
      <c r="C212" s="524">
        <v>1.5761556044097038</v>
      </c>
      <c r="D212" s="524"/>
      <c r="E212" s="525" t="s">
        <v>202</v>
      </c>
      <c r="F212" s="4" t="s">
        <v>0</v>
      </c>
    </row>
    <row r="213" spans="2:6" ht="12.75">
      <c r="B213" s="526" t="s">
        <v>66</v>
      </c>
      <c r="C213" s="524">
        <v>8.320347965895985</v>
      </c>
      <c r="D213" s="524"/>
      <c r="E213" s="525" t="s">
        <v>203</v>
      </c>
      <c r="F213" s="4" t="s">
        <v>0</v>
      </c>
    </row>
    <row r="214" spans="2:6" ht="12.75">
      <c r="B214" s="523" t="s">
        <v>67</v>
      </c>
      <c r="C214" s="524">
        <v>8.320347965895985</v>
      </c>
      <c r="D214" s="524"/>
      <c r="E214" s="525" t="s">
        <v>204</v>
      </c>
      <c r="F214" s="4" t="s">
        <v>0</v>
      </c>
    </row>
    <row r="215" spans="2:5" ht="12.75">
      <c r="B215" s="523" t="s">
        <v>68</v>
      </c>
      <c r="C215" s="524">
        <v>4.956337141611597</v>
      </c>
      <c r="D215" s="524"/>
      <c r="E215" s="525"/>
    </row>
    <row r="216" spans="2:6" ht="12.75">
      <c r="B216" s="523" t="s">
        <v>69</v>
      </c>
      <c r="C216" s="524">
        <v>23.97490426740384</v>
      </c>
      <c r="D216" s="524"/>
      <c r="E216" s="525" t="s">
        <v>205</v>
      </c>
      <c r="F216" s="4" t="s">
        <v>0</v>
      </c>
    </row>
    <row r="217" spans="2:6" ht="12.75">
      <c r="B217" s="523" t="s">
        <v>70</v>
      </c>
      <c r="C217" s="524">
        <v>2.316702289109057</v>
      </c>
      <c r="D217" s="524">
        <v>1.2443237462217627</v>
      </c>
      <c r="E217" s="525" t="s">
        <v>206</v>
      </c>
      <c r="F217" s="4" t="s">
        <v>0</v>
      </c>
    </row>
    <row r="218" spans="2:6" ht="12.75">
      <c r="B218" s="523" t="s">
        <v>71</v>
      </c>
      <c r="C218" s="524">
        <v>11.583511445545284</v>
      </c>
      <c r="D218" s="524">
        <v>6.221618731108814</v>
      </c>
      <c r="E218" s="525" t="s">
        <v>207</v>
      </c>
      <c r="F218" s="4" t="s">
        <v>0</v>
      </c>
    </row>
    <row r="219" spans="2:6" ht="12.75">
      <c r="B219" s="523" t="s">
        <v>72</v>
      </c>
      <c r="C219" s="524">
        <v>23.167022891090568</v>
      </c>
      <c r="D219" s="524">
        <v>12.443237462217628</v>
      </c>
      <c r="E219" s="525" t="s">
        <v>208</v>
      </c>
      <c r="F219" s="4" t="s">
        <v>0</v>
      </c>
    </row>
    <row r="220" spans="2:6" ht="12.75">
      <c r="B220" s="523" t="s">
        <v>209</v>
      </c>
      <c r="C220" s="524">
        <v>20.773463333067728</v>
      </c>
      <c r="D220" s="524"/>
      <c r="E220" s="525" t="s">
        <v>210</v>
      </c>
      <c r="F220" s="4" t="s">
        <v>0</v>
      </c>
    </row>
    <row r="221" spans="2:6" ht="12.75">
      <c r="B221" s="527" t="s">
        <v>75</v>
      </c>
      <c r="C221" s="524"/>
      <c r="D221" s="524"/>
      <c r="E221" s="525"/>
      <c r="F221" s="4" t="s">
        <v>0</v>
      </c>
    </row>
    <row r="222" spans="2:6" ht="12.75">
      <c r="B222" s="523" t="s">
        <v>76</v>
      </c>
      <c r="C222" s="524">
        <v>27.910492749266623</v>
      </c>
      <c r="D222" s="524"/>
      <c r="E222" s="525" t="s">
        <v>211</v>
      </c>
      <c r="F222" s="4" t="s">
        <v>0</v>
      </c>
    </row>
    <row r="223" spans="2:6" ht="12.75">
      <c r="B223" s="523" t="s">
        <v>77</v>
      </c>
      <c r="C223" s="524">
        <v>18.99195566763142</v>
      </c>
      <c r="D223" s="524"/>
      <c r="E223" s="525" t="s">
        <v>212</v>
      </c>
      <c r="F223" s="4" t="s">
        <v>0</v>
      </c>
    </row>
    <row r="224" spans="2:6" ht="12.75">
      <c r="B224" s="523" t="s">
        <v>78</v>
      </c>
      <c r="C224" s="524">
        <v>54.68106067146169</v>
      </c>
      <c r="D224" s="524">
        <v>32.28242080341502</v>
      </c>
      <c r="E224" s="525" t="s">
        <v>213</v>
      </c>
      <c r="F224" s="4" t="s">
        <v>0</v>
      </c>
    </row>
    <row r="225" spans="2:5" ht="12.75">
      <c r="B225" s="523" t="s">
        <v>214</v>
      </c>
      <c r="C225" s="524">
        <v>46.94716514013185</v>
      </c>
      <c r="D225" s="524">
        <v>31.121305388960973</v>
      </c>
      <c r="E225" s="525" t="s">
        <v>215</v>
      </c>
    </row>
    <row r="226" spans="2:6" ht="12.75">
      <c r="B226" s="523" t="s">
        <v>79</v>
      </c>
      <c r="C226" s="524">
        <v>121.90595940386851</v>
      </c>
      <c r="D226" s="524"/>
      <c r="E226" s="525" t="s">
        <v>216</v>
      </c>
      <c r="F226" s="4" t="s">
        <v>0</v>
      </c>
    </row>
    <row r="227" spans="2:6" ht="12.75">
      <c r="B227" s="523" t="s">
        <v>80</v>
      </c>
      <c r="C227" s="524">
        <v>3.4250070971246704</v>
      </c>
      <c r="D227" s="524"/>
      <c r="E227" s="525"/>
      <c r="F227" s="4" t="s">
        <v>0</v>
      </c>
    </row>
    <row r="228" spans="2:6" ht="12.75">
      <c r="B228" s="528" t="s">
        <v>217</v>
      </c>
      <c r="C228" s="524">
        <v>61.753402733121064</v>
      </c>
      <c r="D228" s="524"/>
      <c r="E228" s="525" t="s">
        <v>218</v>
      </c>
      <c r="F228" s="4" t="s">
        <v>0</v>
      </c>
    </row>
    <row r="229" spans="2:6" ht="12.75">
      <c r="B229" s="528" t="s">
        <v>82</v>
      </c>
      <c r="C229" s="524">
        <v>61.753402733121064</v>
      </c>
      <c r="D229" s="524"/>
      <c r="E229" s="525" t="s">
        <v>219</v>
      </c>
      <c r="F229" s="4" t="s">
        <v>0</v>
      </c>
    </row>
    <row r="230" spans="2:6" ht="12.75">
      <c r="B230" s="523" t="s">
        <v>83</v>
      </c>
      <c r="C230" s="524">
        <v>40.14010281094436</v>
      </c>
      <c r="D230" s="524"/>
      <c r="E230" s="525" t="s">
        <v>220</v>
      </c>
      <c r="F230" s="4" t="s">
        <v>0</v>
      </c>
    </row>
    <row r="231" spans="2:6" ht="12.75">
      <c r="B231" s="523" t="s">
        <v>84</v>
      </c>
      <c r="C231" s="524">
        <v>3.773605489329919</v>
      </c>
      <c r="D231" s="524"/>
      <c r="E231" s="525" t="s">
        <v>221</v>
      </c>
      <c r="F231" s="4" t="s">
        <v>0</v>
      </c>
    </row>
    <row r="232" spans="2:6" ht="12.75">
      <c r="B232" s="526" t="s">
        <v>85</v>
      </c>
      <c r="C232" s="524">
        <v>1.9748429484981225</v>
      </c>
      <c r="D232" s="524"/>
      <c r="E232" s="525" t="s">
        <v>222</v>
      </c>
      <c r="F232" s="4" t="s">
        <v>0</v>
      </c>
    </row>
    <row r="233" spans="2:6" ht="12.75">
      <c r="B233" s="523" t="s">
        <v>223</v>
      </c>
      <c r="C233" s="524">
        <v>39.27250788631873</v>
      </c>
      <c r="D233" s="529"/>
      <c r="E233" s="525" t="s">
        <v>224</v>
      </c>
      <c r="F233" s="4" t="s">
        <v>0</v>
      </c>
    </row>
    <row r="234" spans="2:5" ht="12.75">
      <c r="B234" s="523" t="s">
        <v>225</v>
      </c>
      <c r="C234" s="529"/>
      <c r="D234" s="529"/>
      <c r="E234" s="525"/>
    </row>
    <row r="235" spans="2:5" ht="13.5" thickBot="1">
      <c r="B235" s="523" t="s">
        <v>151</v>
      </c>
      <c r="C235" s="524">
        <v>13.569937670563725</v>
      </c>
      <c r="D235" s="530"/>
      <c r="E235" s="525" t="s">
        <v>226</v>
      </c>
    </row>
    <row r="236" spans="2:5" ht="12.75">
      <c r="B236" s="531"/>
      <c r="C236" s="532" t="s">
        <v>227</v>
      </c>
      <c r="D236" s="8"/>
      <c r="E236" s="10"/>
    </row>
    <row r="237" spans="2:5" ht="12.75">
      <c r="B237" s="533"/>
      <c r="C237" s="534" t="s">
        <v>228</v>
      </c>
      <c r="D237" s="534"/>
      <c r="E237" s="535"/>
    </row>
    <row r="238" spans="2:5" ht="13.5" thickBot="1">
      <c r="B238" s="536" t="s">
        <v>229</v>
      </c>
      <c r="C238" s="537">
        <v>6468.905020407953</v>
      </c>
      <c r="D238" s="538"/>
      <c r="E238" s="539"/>
    </row>
    <row r="239" ht="12.75"/>
    <row r="240" ht="13.5" thickBot="1"/>
    <row r="241" spans="2:4" ht="12.75">
      <c r="B241" s="540" t="s">
        <v>230</v>
      </c>
      <c r="C241" s="9"/>
      <c r="D241" s="541"/>
    </row>
    <row r="242" spans="2:4" ht="12.75">
      <c r="B242" s="542" t="s">
        <v>231</v>
      </c>
      <c r="C242" s="543"/>
      <c r="D242" s="544">
        <v>0.95</v>
      </c>
    </row>
    <row r="243" spans="2:7" ht="12.75">
      <c r="B243" s="545" t="s">
        <v>232</v>
      </c>
      <c r="C243" s="409"/>
      <c r="D243" s="603">
        <v>0.31</v>
      </c>
      <c r="G243" s="546"/>
    </row>
    <row r="244" spans="2:7" ht="12.75">
      <c r="B244" s="545" t="s">
        <v>233</v>
      </c>
      <c r="C244" s="416"/>
      <c r="D244" s="547"/>
      <c r="E244" s="24"/>
      <c r="F244" s="546"/>
      <c r="G244" s="546"/>
    </row>
    <row r="245" spans="2:7" ht="12.75">
      <c r="B245" s="545" t="s">
        <v>234</v>
      </c>
      <c r="C245" s="416"/>
      <c r="D245" s="548">
        <v>0.026</v>
      </c>
      <c r="E245" s="24"/>
      <c r="F245" s="546"/>
      <c r="G245" s="546"/>
    </row>
    <row r="246" spans="2:7" ht="12.75">
      <c r="B246" s="545" t="s">
        <v>235</v>
      </c>
      <c r="C246" s="416"/>
      <c r="D246" s="548">
        <v>0.02</v>
      </c>
      <c r="E246" s="24"/>
      <c r="F246" s="546"/>
      <c r="G246" s="546"/>
    </row>
    <row r="247" spans="2:7" ht="12.75">
      <c r="B247" s="545" t="s">
        <v>236</v>
      </c>
      <c r="C247" s="416"/>
      <c r="D247" s="548">
        <v>0.015</v>
      </c>
      <c r="F247" s="546"/>
      <c r="G247" s="546"/>
    </row>
    <row r="248" spans="2:7" ht="12.75">
      <c r="B248" s="549" t="s">
        <v>237</v>
      </c>
      <c r="C248" s="416"/>
      <c r="D248" s="547"/>
      <c r="F248" s="546"/>
      <c r="G248" s="546"/>
    </row>
    <row r="249" spans="2:7" ht="12.75">
      <c r="B249" s="545" t="s">
        <v>234</v>
      </c>
      <c r="C249" s="416"/>
      <c r="D249" s="550">
        <f>(D245/1000)/(D$242/10000)*(1-D$243)</f>
        <v>0.1888421052631579</v>
      </c>
      <c r="F249" s="546"/>
      <c r="G249" s="546"/>
    </row>
    <row r="250" spans="2:7" ht="12.75">
      <c r="B250" s="545" t="s">
        <v>235</v>
      </c>
      <c r="C250" s="416"/>
      <c r="D250" s="550">
        <f>(D246/1000)/(D$242/10000)*(1-D$243)</f>
        <v>0.14526315789473687</v>
      </c>
      <c r="F250" s="546"/>
      <c r="G250" s="546"/>
    </row>
    <row r="251" spans="2:7" ht="12.75">
      <c r="B251" s="545" t="s">
        <v>236</v>
      </c>
      <c r="C251" s="551"/>
      <c r="D251" s="552">
        <f>(D247/1000)/(D$242/10000)*(1-D$243)</f>
        <v>0.10894736842105261</v>
      </c>
      <c r="F251" s="546"/>
      <c r="G251" s="546"/>
    </row>
    <row r="252" spans="2:7" ht="12.75">
      <c r="B252" s="553" t="s">
        <v>238</v>
      </c>
      <c r="C252" s="416"/>
      <c r="D252" s="554">
        <v>1.1</v>
      </c>
      <c r="F252" s="546"/>
      <c r="G252" s="546"/>
    </row>
    <row r="253" spans="2:7" ht="12.75">
      <c r="B253" s="549" t="s">
        <v>239</v>
      </c>
      <c r="C253" s="416"/>
      <c r="D253" s="555">
        <v>1.0825</v>
      </c>
      <c r="F253" s="546"/>
      <c r="G253" s="546"/>
    </row>
    <row r="254" spans="2:7" ht="12.75">
      <c r="B254" s="549" t="s">
        <v>240</v>
      </c>
      <c r="C254" s="416"/>
      <c r="D254" s="554">
        <v>244</v>
      </c>
      <c r="F254" s="546"/>
      <c r="G254" s="546"/>
    </row>
    <row r="255" spans="2:7" ht="12.75">
      <c r="B255" s="549" t="s">
        <v>241</v>
      </c>
      <c r="C255" s="416"/>
      <c r="D255" s="554">
        <v>244</v>
      </c>
      <c r="F255" s="546"/>
      <c r="G255" s="546"/>
    </row>
    <row r="256" spans="2:7" ht="12.75">
      <c r="B256" s="549" t="s">
        <v>242</v>
      </c>
      <c r="C256" s="416"/>
      <c r="D256" s="554">
        <f>0.454</f>
        <v>0.454</v>
      </c>
      <c r="F256" s="546"/>
      <c r="G256" s="546"/>
    </row>
    <row r="257" spans="2:7" ht="12.75">
      <c r="B257" s="549" t="s">
        <v>243</v>
      </c>
      <c r="C257" s="416"/>
      <c r="D257" s="554">
        <f>2.47</f>
        <v>2.47</v>
      </c>
      <c r="F257" s="546"/>
      <c r="G257" s="546"/>
    </row>
    <row r="258" spans="2:7" ht="12.75">
      <c r="B258" s="545" t="s">
        <v>244</v>
      </c>
      <c r="C258" s="556"/>
      <c r="D258" s="557">
        <f>0.3048*0.3048</f>
        <v>0.09290304</v>
      </c>
      <c r="F258" s="546"/>
      <c r="G258" s="546"/>
    </row>
    <row r="259" spans="2:4" ht="13.5" thickBot="1">
      <c r="B259" s="558" t="s">
        <v>245</v>
      </c>
      <c r="C259" s="559"/>
      <c r="D259" s="560">
        <f>2*0.473</f>
        <v>0.946</v>
      </c>
    </row>
    <row r="260" spans="2:3" ht="12.75">
      <c r="B260" s="546"/>
      <c r="C260" s="546"/>
    </row>
    <row r="261" spans="2:3" ht="13.5" thickBot="1">
      <c r="B261" s="546"/>
      <c r="C261" s="546"/>
    </row>
    <row r="262" spans="2:5" ht="12.75">
      <c r="B262" s="520" t="s">
        <v>246</v>
      </c>
      <c r="C262" s="561" t="s">
        <v>247</v>
      </c>
      <c r="D262" s="561" t="s">
        <v>248</v>
      </c>
      <c r="E262" s="562" t="s">
        <v>249</v>
      </c>
    </row>
    <row r="263" spans="2:5" ht="12.75">
      <c r="B263" s="563" t="s">
        <v>250</v>
      </c>
      <c r="C263" s="564" t="s">
        <v>251</v>
      </c>
      <c r="D263" s="564" t="s">
        <v>251</v>
      </c>
      <c r="E263" s="565" t="s">
        <v>252</v>
      </c>
    </row>
    <row r="264" spans="2:5" ht="12.75">
      <c r="B264" s="21"/>
      <c r="C264" s="566" t="s">
        <v>253</v>
      </c>
      <c r="D264" s="566" t="s">
        <v>254</v>
      </c>
      <c r="E264" s="567" t="s">
        <v>255</v>
      </c>
    </row>
    <row r="265" spans="2:5" ht="12.75">
      <c r="B265" s="568" t="s">
        <v>256</v>
      </c>
      <c r="C265" s="569">
        <v>1.3455739595545015</v>
      </c>
      <c r="D265" s="569"/>
      <c r="E265" s="570">
        <f>+D176/C265</f>
        <v>0</v>
      </c>
    </row>
    <row r="266" spans="2:5" ht="12.75">
      <c r="B266" s="571" t="s">
        <v>19</v>
      </c>
      <c r="C266" s="572">
        <v>2.1738891286070183</v>
      </c>
      <c r="D266" s="572"/>
      <c r="E266" s="573">
        <f>E176/C266</f>
        <v>0</v>
      </c>
    </row>
    <row r="267" spans="2:5" ht="12.75">
      <c r="B267" s="571" t="s">
        <v>20</v>
      </c>
      <c r="C267" s="572">
        <v>0.47252234425237316</v>
      </c>
      <c r="D267" s="572">
        <v>1.271877828767143</v>
      </c>
      <c r="E267" s="573">
        <f>F176/C267</f>
        <v>0</v>
      </c>
    </row>
    <row r="268" spans="2:5" ht="12.75">
      <c r="B268" s="571" t="s">
        <v>21</v>
      </c>
      <c r="C268" s="572">
        <v>1.3455739595545015</v>
      </c>
      <c r="D268" s="572"/>
      <c r="E268" s="573">
        <f>G176/C268</f>
        <v>0</v>
      </c>
    </row>
    <row r="269" spans="2:5" ht="12.75">
      <c r="B269" s="571" t="s">
        <v>257</v>
      </c>
      <c r="C269" s="572">
        <v>2.1738891286070183</v>
      </c>
      <c r="D269" s="572">
        <v>1.41064816911878</v>
      </c>
      <c r="E269" s="573">
        <f>+H176/C269</f>
        <v>0</v>
      </c>
    </row>
    <row r="270" spans="2:5" ht="13.5" thickBot="1">
      <c r="B270" s="571" t="s">
        <v>23</v>
      </c>
      <c r="C270" s="574">
        <v>0.35264940878381457</v>
      </c>
      <c r="D270" s="574"/>
      <c r="E270" s="573">
        <f>I176/C270</f>
        <v>0</v>
      </c>
    </row>
    <row r="271" spans="2:5" ht="13.5" thickBot="1">
      <c r="B271" s="575" t="s">
        <v>180</v>
      </c>
      <c r="C271" s="576" t="s">
        <v>258</v>
      </c>
      <c r="D271" s="576" t="s">
        <v>258</v>
      </c>
      <c r="E271" s="577">
        <f>SUM(E265:E270)</f>
        <v>0</v>
      </c>
    </row>
    <row r="272" spans="2:3" ht="12.75">
      <c r="B272" s="546"/>
      <c r="C272" s="546"/>
    </row>
    <row r="273" spans="2:3" ht="13.5" thickBot="1">
      <c r="B273" s="546"/>
      <c r="C273" s="546"/>
    </row>
    <row r="274" spans="2:9" ht="13.5" thickTop="1">
      <c r="B274" s="578" t="s">
        <v>259</v>
      </c>
      <c r="C274" s="579"/>
      <c r="D274" s="580" t="s">
        <v>18</v>
      </c>
      <c r="E274" s="581" t="s">
        <v>19</v>
      </c>
      <c r="F274" s="581" t="s">
        <v>20</v>
      </c>
      <c r="G274" s="581" t="s">
        <v>21</v>
      </c>
      <c r="H274" s="580" t="s">
        <v>22</v>
      </c>
      <c r="I274" s="582" t="s">
        <v>23</v>
      </c>
    </row>
    <row r="275" spans="2:9" ht="12.75">
      <c r="B275" s="583"/>
      <c r="C275" s="53"/>
      <c r="D275" s="584" t="s">
        <v>29</v>
      </c>
      <c r="E275" s="585"/>
      <c r="F275" s="585"/>
      <c r="G275" s="585"/>
      <c r="H275" s="564" t="s">
        <v>30</v>
      </c>
      <c r="I275" s="586"/>
    </row>
    <row r="276" spans="2:9" ht="12.75">
      <c r="B276" s="587" t="s">
        <v>186</v>
      </c>
      <c r="C276" s="588"/>
      <c r="D276" s="589">
        <v>1.0305776946934861</v>
      </c>
      <c r="E276" s="589">
        <v>1.3542595495013905</v>
      </c>
      <c r="F276" s="589">
        <v>1.7473806068309932</v>
      </c>
      <c r="G276" s="589"/>
      <c r="H276" s="589"/>
      <c r="I276" s="590">
        <v>2.8806366720435737</v>
      </c>
    </row>
    <row r="277" spans="2:9" ht="12.75">
      <c r="B277" s="587" t="s">
        <v>188</v>
      </c>
      <c r="C277" s="591"/>
      <c r="D277" s="589">
        <v>0.9756089936829765</v>
      </c>
      <c r="E277" s="589"/>
      <c r="F277" s="589"/>
      <c r="G277" s="589">
        <v>1.5983848643668979</v>
      </c>
      <c r="H277" s="589">
        <v>0.7757694348291222</v>
      </c>
      <c r="I277" s="590"/>
    </row>
    <row r="278" spans="2:9" ht="12.75">
      <c r="B278" s="592" t="s">
        <v>190</v>
      </c>
      <c r="C278" s="593"/>
      <c r="D278" s="589">
        <v>0.7290757609334663</v>
      </c>
      <c r="E278" s="589"/>
      <c r="F278" s="589"/>
      <c r="G278" s="589"/>
      <c r="H278" s="589">
        <v>1.1930181467481977</v>
      </c>
      <c r="I278" s="590"/>
    </row>
    <row r="279" spans="2:9" ht="12.75">
      <c r="B279" s="592" t="s">
        <v>191</v>
      </c>
      <c r="C279" s="593"/>
      <c r="D279" s="589">
        <v>4.7343881396913705</v>
      </c>
      <c r="E279" s="589">
        <v>4.300785387454525</v>
      </c>
      <c r="F279" s="594">
        <v>2.16206817224631</v>
      </c>
      <c r="G279" s="589">
        <v>2.9139382255796926</v>
      </c>
      <c r="H279" s="589">
        <v>0.32567041729761864</v>
      </c>
      <c r="I279" s="590"/>
    </row>
    <row r="280" spans="2:9" ht="12.75">
      <c r="B280" s="592" t="s">
        <v>192</v>
      </c>
      <c r="C280" s="593"/>
      <c r="D280" s="589">
        <v>4.214508661067128</v>
      </c>
      <c r="E280" s="589"/>
      <c r="F280" s="589"/>
      <c r="G280" s="589">
        <v>3.5224456081481073</v>
      </c>
      <c r="H280" s="589">
        <v>0.32567041729761864</v>
      </c>
      <c r="I280" s="590"/>
    </row>
    <row r="281" spans="2:9" ht="13.5" thickBot="1">
      <c r="B281" s="595" t="s">
        <v>193</v>
      </c>
      <c r="C281" s="556"/>
      <c r="D281" s="596">
        <v>4.7343881396913705</v>
      </c>
      <c r="E281" s="596"/>
      <c r="F281" s="596"/>
      <c r="G281" s="596">
        <v>2.9139382255796926</v>
      </c>
      <c r="H281" s="596">
        <v>0.32567041729761864</v>
      </c>
      <c r="I281" s="597"/>
    </row>
    <row r="282" spans="2:9" ht="13.5" thickBot="1">
      <c r="B282" s="598" t="s">
        <v>260</v>
      </c>
      <c r="C282" s="599" t="s">
        <v>261</v>
      </c>
      <c r="D282" s="600">
        <v>1902.9152239087116</v>
      </c>
      <c r="E282" s="601" t="s">
        <v>262</v>
      </c>
      <c r="F282" s="600">
        <v>1652.2139816690774</v>
      </c>
      <c r="G282" s="601" t="s">
        <v>263</v>
      </c>
      <c r="H282" s="600">
        <v>1282.7955171976846</v>
      </c>
      <c r="I282" s="602"/>
    </row>
    <row r="283" spans="2:3" ht="13.5" thickTop="1">
      <c r="B283" s="546"/>
      <c r="C283" s="546"/>
    </row>
    <row r="284" spans="2:3" ht="12.75">
      <c r="B284" s="546"/>
      <c r="C284" s="546"/>
    </row>
    <row r="285" spans="2:3" ht="12.75">
      <c r="B285" s="546"/>
      <c r="C285" s="546"/>
    </row>
    <row r="286" spans="2:3" ht="12.75">
      <c r="B286" s="546"/>
      <c r="C286" s="546"/>
    </row>
    <row r="287" spans="2:3" ht="12.75">
      <c r="B287" s="546"/>
      <c r="C287" s="546"/>
    </row>
    <row r="288" spans="2:3" ht="12.75">
      <c r="B288" s="546"/>
      <c r="C288" s="546"/>
    </row>
    <row r="289" spans="2:3" ht="12.75">
      <c r="B289" s="546"/>
      <c r="C289" s="546"/>
    </row>
    <row r="290" spans="2:3" ht="12.75">
      <c r="B290" s="546"/>
      <c r="C290" s="546"/>
    </row>
    <row r="291" spans="2:3" ht="12.75">
      <c r="B291" s="546"/>
      <c r="C291" s="546"/>
    </row>
    <row r="292" spans="2:3" ht="12.75">
      <c r="B292" s="546"/>
      <c r="C292" s="546"/>
    </row>
    <row r="293" spans="2:3" ht="12.75">
      <c r="B293" s="546"/>
      <c r="C293" s="546"/>
    </row>
    <row r="294" spans="2:3" ht="12.75">
      <c r="B294" s="546"/>
      <c r="C294" s="546"/>
    </row>
    <row r="295" spans="2:3" ht="12.75">
      <c r="B295" s="546"/>
      <c r="C295" s="546"/>
    </row>
    <row r="296" spans="2:3" ht="12.75">
      <c r="B296" s="546"/>
      <c r="C296" s="546"/>
    </row>
    <row r="297" spans="2:3" ht="12.75">
      <c r="B297" s="546"/>
      <c r="C297" s="546"/>
    </row>
    <row r="298" spans="2:3" ht="12.75">
      <c r="B298" s="546"/>
      <c r="C298" s="546"/>
    </row>
    <row r="299" spans="2:3" ht="12.75">
      <c r="B299" s="546"/>
      <c r="C299" s="546"/>
    </row>
    <row r="300" spans="2:3" ht="12.75">
      <c r="B300" s="546"/>
      <c r="C300" s="546"/>
    </row>
    <row r="301" spans="2:3" ht="12.75">
      <c r="B301" s="546"/>
      <c r="C301" s="546"/>
    </row>
    <row r="302" spans="2:3" ht="12.75">
      <c r="B302" s="546"/>
      <c r="C302" s="546"/>
    </row>
    <row r="303" spans="2:3" ht="12.75">
      <c r="B303" s="546"/>
      <c r="C303" s="546"/>
    </row>
    <row r="304" spans="2:3" ht="12.75">
      <c r="B304" s="546"/>
      <c r="C304" s="546"/>
    </row>
    <row r="305" spans="2:3" ht="12.75">
      <c r="B305" s="546"/>
      <c r="C305" s="546"/>
    </row>
    <row r="306" spans="2:3" ht="12.75">
      <c r="B306" s="546"/>
      <c r="C306" s="546"/>
    </row>
    <row r="307" spans="2:3" ht="12.75">
      <c r="B307" s="546"/>
      <c r="C307" s="546"/>
    </row>
    <row r="308" spans="2:3" ht="12.75">
      <c r="B308" s="546"/>
      <c r="C308" s="546"/>
    </row>
    <row r="309" spans="2:3" ht="12.75">
      <c r="B309" s="546"/>
      <c r="C309" s="546"/>
    </row>
    <row r="310" spans="2:3" ht="12.75">
      <c r="B310" s="546"/>
      <c r="C310" s="546"/>
    </row>
    <row r="311" spans="2:3" ht="12.75">
      <c r="B311" s="546"/>
      <c r="C311" s="546"/>
    </row>
    <row r="312" spans="2:3" ht="12.75">
      <c r="B312" s="546"/>
      <c r="C312" s="546"/>
    </row>
    <row r="313" spans="2:3" ht="12.75">
      <c r="B313" s="546"/>
      <c r="C313" s="546"/>
    </row>
    <row r="314" spans="2:3" ht="12.75">
      <c r="B314" s="546"/>
      <c r="C314" s="546"/>
    </row>
    <row r="315" spans="2:3" ht="12.75">
      <c r="B315" s="546"/>
      <c r="C315" s="546"/>
    </row>
    <row r="316" spans="2:3" ht="12.75">
      <c r="B316" s="546"/>
      <c r="C316" s="546"/>
    </row>
    <row r="317" spans="2:3" ht="12.75">
      <c r="B317" s="546"/>
      <c r="C317" s="546"/>
    </row>
    <row r="318" spans="2:3" ht="12.75">
      <c r="B318" s="546"/>
      <c r="C318" s="546"/>
    </row>
    <row r="319" spans="2:3" ht="12.75">
      <c r="B319" s="546"/>
      <c r="C319" s="546"/>
    </row>
    <row r="320" spans="2:3" ht="12.75">
      <c r="B320" s="546"/>
      <c r="C320" s="546"/>
    </row>
    <row r="321" spans="2:3" ht="12.75">
      <c r="B321" s="546"/>
      <c r="C321" s="546"/>
    </row>
    <row r="322" spans="2:3" ht="12.75">
      <c r="B322" s="546"/>
      <c r="C322" s="546"/>
    </row>
    <row r="323" spans="2:3" ht="12.75">
      <c r="B323" s="546"/>
      <c r="C323" s="546"/>
    </row>
    <row r="324" spans="2:3" ht="12.75">
      <c r="B324" s="546"/>
      <c r="C324" s="546"/>
    </row>
    <row r="325" spans="2:3" ht="12.75">
      <c r="B325" s="546"/>
      <c r="C325" s="546"/>
    </row>
    <row r="326" spans="2:3" ht="12.75">
      <c r="B326" s="546"/>
      <c r="C326" s="546"/>
    </row>
    <row r="327" spans="2:3" ht="12.75">
      <c r="B327" s="546"/>
      <c r="C327" s="546"/>
    </row>
    <row r="328" spans="2:3" ht="12.75">
      <c r="B328" s="546"/>
      <c r="C328" s="546"/>
    </row>
    <row r="329" spans="2:3" ht="12.75">
      <c r="B329" s="546"/>
      <c r="C329" s="546"/>
    </row>
    <row r="330" spans="2:3" ht="12.75">
      <c r="B330" s="546"/>
      <c r="C330" s="546"/>
    </row>
    <row r="331" spans="2:3" ht="12.75">
      <c r="B331" s="546"/>
      <c r="C331" s="546"/>
    </row>
    <row r="332" spans="2:3" ht="12.75">
      <c r="B332" s="546"/>
      <c r="C332" s="546"/>
    </row>
    <row r="333" spans="2:3" ht="12.75">
      <c r="B333" s="546"/>
      <c r="C333" s="546"/>
    </row>
    <row r="334" spans="2:3" ht="12.75">
      <c r="B334" s="546"/>
      <c r="C334" s="546"/>
    </row>
    <row r="335" spans="2:3" ht="12.75">
      <c r="B335" s="546"/>
      <c r="C335" s="546"/>
    </row>
    <row r="336" spans="2:3" ht="12.75">
      <c r="B336" s="546"/>
      <c r="C336" s="546"/>
    </row>
    <row r="337" spans="2:3" ht="12.75">
      <c r="B337" s="546"/>
      <c r="C337" s="546"/>
    </row>
    <row r="338" spans="2:3" ht="12.75">
      <c r="B338" s="546"/>
      <c r="C338" s="546"/>
    </row>
    <row r="339" spans="2:3" ht="12.75">
      <c r="B339" s="546"/>
      <c r="C339" s="546"/>
    </row>
    <row r="340" spans="2:3" ht="12.75">
      <c r="B340" s="546"/>
      <c r="C340" s="546"/>
    </row>
    <row r="341" spans="2:3" ht="12.75">
      <c r="B341" s="546"/>
      <c r="C341" s="546"/>
    </row>
  </sheetData>
  <mergeCells count="1">
    <mergeCell ref="B14:L16"/>
  </mergeCells>
  <printOptions horizontalCentered="1" verticalCentered="1"/>
  <pageMargins left="0.4" right="0.4" top="0.25" bottom="0.5" header="0.5" footer="0.3"/>
  <pageSetup fitToHeight="0" fitToWidth="1" horizontalDpi="600" verticalDpi="600" orientation="landscape" scale="74" r:id="rId4"/>
  <headerFooter alignWithMargins="0">
    <oddFooter>&amp;CPage &amp;P of &amp;N, &amp;F, Ecological Footprint of Households, by Mathis Wackernagel, Diana Deumling, Chad Monfreda, and Ritik Dholakia, © Redefining Progress, 2003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Redefining Progress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dc:creator>
  <cp:keywords/>
  <dc:description/>
  <cp:lastModifiedBy>Craig Cheslog</cp:lastModifiedBy>
  <dcterms:created xsi:type="dcterms:W3CDTF">2003-02-10T22:55:45Z</dcterms:created>
  <dcterms:modified xsi:type="dcterms:W3CDTF">2003-03-14T15:56:44Z</dcterms:modified>
  <cp:category/>
  <cp:version/>
  <cp:contentType/>
  <cp:contentStatus/>
</cp:coreProperties>
</file>